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userselu/Downloads/"/>
    </mc:Choice>
  </mc:AlternateContent>
  <xr:revisionPtr revIDLastSave="0" documentId="13_ncr:1_{9E2FA1B5-0EEB-5747-98D9-DFCA6772823E}" xr6:coauthVersionLast="47" xr6:coauthVersionMax="47" xr10:uidLastSave="{00000000-0000-0000-0000-000000000000}"/>
  <bookViews>
    <workbookView xWindow="0" yWindow="500" windowWidth="25600" windowHeight="14040" firstSheet="59" activeTab="67" xr2:uid="{00000000-000D-0000-FFFF-FFFF00000000}"/>
  </bookViews>
  <sheets>
    <sheet name="S1" sheetId="2" r:id="rId1"/>
    <sheet name="S2" sheetId="3" r:id="rId2"/>
    <sheet name="S3" sheetId="4" r:id="rId3"/>
    <sheet name="S4" sheetId="5" r:id="rId4"/>
    <sheet name="S5" sheetId="6" r:id="rId5"/>
    <sheet name="S6" sheetId="7" r:id="rId6"/>
    <sheet name="S7" sheetId="8" r:id="rId7"/>
    <sheet name="S8" sheetId="9" r:id="rId8"/>
    <sheet name="S9" sheetId="10" r:id="rId9"/>
    <sheet name="S10" sheetId="11" r:id="rId10"/>
    <sheet name="S11" sheetId="12" r:id="rId11"/>
    <sheet name="S12" sheetId="13" r:id="rId12"/>
    <sheet name="S13" sheetId="14" r:id="rId13"/>
    <sheet name="S14" sheetId="15" r:id="rId14"/>
    <sheet name="S15" sheetId="16" r:id="rId15"/>
    <sheet name="S16" sheetId="17" r:id="rId16"/>
    <sheet name="S17" sheetId="18" r:id="rId17"/>
    <sheet name="S18" sheetId="19" r:id="rId18"/>
    <sheet name="S19" sheetId="20" r:id="rId19"/>
    <sheet name="S20" sheetId="21" r:id="rId20"/>
    <sheet name="S21" sheetId="22" r:id="rId21"/>
    <sheet name="S22" sheetId="23" r:id="rId22"/>
    <sheet name="S23" sheetId="24" r:id="rId23"/>
    <sheet name="S24" sheetId="25" r:id="rId24"/>
    <sheet name="S25" sheetId="26" r:id="rId25"/>
    <sheet name="S26" sheetId="27" r:id="rId26"/>
    <sheet name="S27" sheetId="28" r:id="rId27"/>
    <sheet name="S28" sheetId="29" r:id="rId28"/>
    <sheet name="S29" sheetId="30" r:id="rId29"/>
    <sheet name="S30" sheetId="31" r:id="rId30"/>
    <sheet name="S31" sheetId="32" r:id="rId31"/>
    <sheet name="S32" sheetId="33" r:id="rId32"/>
    <sheet name="S33" sheetId="34" r:id="rId33"/>
    <sheet name="S34" sheetId="35" r:id="rId34"/>
    <sheet name="S35" sheetId="36" r:id="rId35"/>
    <sheet name="S36" sheetId="37" r:id="rId36"/>
    <sheet name="S37" sheetId="38" r:id="rId37"/>
    <sheet name="S38" sheetId="39" r:id="rId38"/>
    <sheet name="S39" sheetId="40" r:id="rId39"/>
    <sheet name="S40" sheetId="41" r:id="rId40"/>
    <sheet name="S41" sheetId="42" r:id="rId41"/>
    <sheet name="S42" sheetId="43" r:id="rId42"/>
    <sheet name="S43" sheetId="44" r:id="rId43"/>
    <sheet name="S44" sheetId="45" r:id="rId44"/>
    <sheet name="S45" sheetId="46" r:id="rId45"/>
    <sheet name="S46" sheetId="47" r:id="rId46"/>
    <sheet name="S47" sheetId="48" r:id="rId47"/>
    <sheet name="S48" sheetId="49" r:id="rId48"/>
    <sheet name="S49" sheetId="50" r:id="rId49"/>
    <sheet name="S50" sheetId="51" r:id="rId50"/>
    <sheet name="S51" sheetId="52" r:id="rId51"/>
    <sheet name="S52" sheetId="53" r:id="rId52"/>
    <sheet name="S53" sheetId="54" r:id="rId53"/>
    <sheet name="S54" sheetId="55" r:id="rId54"/>
    <sheet name="S55" sheetId="56" r:id="rId55"/>
    <sheet name="S56" sheetId="57" r:id="rId56"/>
    <sheet name="S57" sheetId="58" r:id="rId57"/>
    <sheet name="S58" sheetId="59" r:id="rId58"/>
    <sheet name="S59" sheetId="60" r:id="rId59"/>
    <sheet name="S60" sheetId="61" r:id="rId60"/>
    <sheet name="S61" sheetId="62" r:id="rId61"/>
    <sheet name="S62" sheetId="63" r:id="rId62"/>
    <sheet name="S63" sheetId="64" r:id="rId63"/>
    <sheet name="S64" sheetId="65" r:id="rId64"/>
    <sheet name="S65" sheetId="66" r:id="rId65"/>
    <sheet name="S66" sheetId="67" r:id="rId66"/>
    <sheet name="S67" sheetId="68" r:id="rId67"/>
    <sheet name="S68" sheetId="69" r:id="rId68"/>
    <sheet name="S69" sheetId="70" r:id="rId69"/>
    <sheet name="S70" sheetId="71" r:id="rId7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20" i="71" l="1"/>
  <c r="C20" i="71"/>
  <c r="B20" i="71"/>
  <c r="D19" i="71"/>
  <c r="C19" i="71"/>
  <c r="B19" i="71"/>
  <c r="D18" i="71"/>
  <c r="C18" i="71"/>
  <c r="B18" i="71"/>
  <c r="D17" i="71"/>
  <c r="C17" i="71"/>
  <c r="B17" i="71"/>
  <c r="D16" i="71"/>
  <c r="C16" i="71"/>
  <c r="B16" i="71"/>
  <c r="D15" i="71"/>
  <c r="C15" i="71"/>
  <c r="B15" i="71"/>
  <c r="D14" i="71"/>
  <c r="C14" i="71"/>
  <c r="B14" i="71"/>
  <c r="D13" i="71"/>
  <c r="C13" i="71"/>
  <c r="B13" i="71"/>
  <c r="D12" i="71"/>
  <c r="C12" i="71"/>
  <c r="B12" i="71"/>
  <c r="D11" i="71"/>
  <c r="C11" i="71"/>
  <c r="B11" i="71"/>
  <c r="D10" i="71"/>
  <c r="C10" i="71"/>
  <c r="B10" i="71"/>
  <c r="D9" i="71"/>
  <c r="C9" i="71"/>
  <c r="B9" i="71"/>
  <c r="D8" i="71"/>
  <c r="C8" i="71"/>
  <c r="B8" i="71"/>
  <c r="D7" i="71"/>
  <c r="C7" i="71"/>
  <c r="B7" i="71"/>
  <c r="D6" i="71"/>
  <c r="C6" i="71"/>
  <c r="B6" i="71"/>
  <c r="D5" i="71"/>
  <c r="C5" i="71"/>
  <c r="B5" i="71"/>
  <c r="D4" i="71"/>
  <c r="C4" i="71"/>
  <c r="B4" i="71"/>
  <c r="D3" i="71"/>
  <c r="C3" i="71"/>
  <c r="B3" i="71"/>
  <c r="D2" i="71"/>
  <c r="C2" i="71"/>
  <c r="B2" i="71"/>
  <c r="D1" i="71"/>
  <c r="C1" i="71"/>
  <c r="B1" i="71"/>
  <c r="D20" i="70"/>
  <c r="C20" i="70"/>
  <c r="B20" i="70"/>
  <c r="D19" i="70"/>
  <c r="C19" i="70"/>
  <c r="B19" i="70"/>
  <c r="D18" i="70"/>
  <c r="C18" i="70"/>
  <c r="B18" i="70"/>
  <c r="D17" i="70"/>
  <c r="C17" i="70"/>
  <c r="B17" i="70"/>
  <c r="D16" i="70"/>
  <c r="C16" i="70"/>
  <c r="B16" i="70"/>
  <c r="D15" i="70"/>
  <c r="C15" i="70"/>
  <c r="B15" i="70"/>
  <c r="D14" i="70"/>
  <c r="C14" i="70"/>
  <c r="B14" i="70"/>
  <c r="D13" i="70"/>
  <c r="C13" i="70"/>
  <c r="B13" i="70"/>
  <c r="D12" i="70"/>
  <c r="C12" i="70"/>
  <c r="B12" i="70"/>
  <c r="D11" i="70"/>
  <c r="C11" i="70"/>
  <c r="B11" i="70"/>
  <c r="D10" i="70"/>
  <c r="C10" i="70"/>
  <c r="B10" i="70"/>
  <c r="D9" i="70"/>
  <c r="C9" i="70"/>
  <c r="B9" i="70"/>
  <c r="D8" i="70"/>
  <c r="C8" i="70"/>
  <c r="B8" i="70"/>
  <c r="D7" i="70"/>
  <c r="C7" i="70"/>
  <c r="B7" i="70"/>
  <c r="D6" i="70"/>
  <c r="C6" i="70"/>
  <c r="B6" i="70"/>
  <c r="D5" i="70"/>
  <c r="C5" i="70"/>
  <c r="B5" i="70"/>
  <c r="D4" i="70"/>
  <c r="C4" i="70"/>
  <c r="B4" i="70"/>
  <c r="D3" i="70"/>
  <c r="C3" i="70"/>
  <c r="B3" i="70"/>
  <c r="D2" i="70"/>
  <c r="C2" i="70"/>
  <c r="B2" i="70"/>
  <c r="D1" i="70"/>
  <c r="C1" i="70"/>
  <c r="B1" i="70"/>
  <c r="D20" i="69"/>
  <c r="C20" i="69"/>
  <c r="B20" i="69"/>
  <c r="D19" i="69"/>
  <c r="C19" i="69"/>
  <c r="B19" i="69"/>
  <c r="D18" i="69"/>
  <c r="C18" i="69"/>
  <c r="B18" i="69"/>
  <c r="D17" i="69"/>
  <c r="C17" i="69"/>
  <c r="B17" i="69"/>
  <c r="D16" i="69"/>
  <c r="C16" i="69"/>
  <c r="B16" i="69"/>
  <c r="D15" i="69"/>
  <c r="C15" i="69"/>
  <c r="B15" i="69"/>
  <c r="D14" i="69"/>
  <c r="C14" i="69"/>
  <c r="B14" i="69"/>
  <c r="D13" i="69"/>
  <c r="C13" i="69"/>
  <c r="B13" i="69"/>
  <c r="D12" i="69"/>
  <c r="C12" i="69"/>
  <c r="B12" i="69"/>
  <c r="D11" i="69"/>
  <c r="C11" i="69"/>
  <c r="B11" i="69"/>
  <c r="D10" i="69"/>
  <c r="C10" i="69"/>
  <c r="B10" i="69"/>
  <c r="D9" i="69"/>
  <c r="C9" i="69"/>
  <c r="B9" i="69"/>
  <c r="D8" i="69"/>
  <c r="C8" i="69"/>
  <c r="B8" i="69"/>
  <c r="D7" i="69"/>
  <c r="C7" i="69"/>
  <c r="B7" i="69"/>
  <c r="D6" i="69"/>
  <c r="C6" i="69"/>
  <c r="B6" i="69"/>
  <c r="D5" i="69"/>
  <c r="C5" i="69"/>
  <c r="D4" i="69"/>
  <c r="C4" i="69"/>
  <c r="B4" i="69"/>
  <c r="D3" i="69"/>
  <c r="C3" i="69"/>
  <c r="B3" i="69"/>
  <c r="D2" i="69"/>
  <c r="C2" i="69"/>
  <c r="B2" i="69"/>
  <c r="D1" i="69"/>
  <c r="C1" i="69"/>
  <c r="B1" i="69"/>
  <c r="C20" i="68"/>
  <c r="B20" i="68"/>
  <c r="C19" i="68"/>
  <c r="B19" i="68"/>
  <c r="C18" i="68"/>
  <c r="B18" i="68"/>
  <c r="C17" i="68"/>
  <c r="B17" i="68"/>
  <c r="C16" i="68"/>
  <c r="B16" i="68"/>
  <c r="C15" i="68"/>
  <c r="B15" i="68"/>
  <c r="C14" i="68"/>
  <c r="B14" i="68"/>
  <c r="C13" i="68"/>
  <c r="B13" i="68"/>
  <c r="C12" i="68"/>
  <c r="B12" i="68"/>
  <c r="C11" i="68"/>
  <c r="B11" i="68"/>
  <c r="C10" i="68"/>
  <c r="B10" i="68"/>
  <c r="C9" i="68"/>
  <c r="B9" i="68"/>
  <c r="C8" i="68"/>
  <c r="B8" i="68"/>
  <c r="C7" i="68"/>
  <c r="B7" i="68"/>
  <c r="C6" i="68"/>
  <c r="B6" i="68"/>
  <c r="C5" i="68"/>
  <c r="C4" i="68"/>
  <c r="B4" i="68"/>
  <c r="C3" i="68"/>
  <c r="B3" i="68"/>
  <c r="C2" i="68"/>
  <c r="B2" i="68"/>
  <c r="C1" i="68"/>
  <c r="B1" i="68"/>
  <c r="B22" i="67"/>
  <c r="C20" i="67"/>
  <c r="B20" i="67"/>
  <c r="C19" i="67"/>
  <c r="B19" i="67"/>
  <c r="C18" i="67"/>
  <c r="B18" i="67"/>
  <c r="C17" i="67"/>
  <c r="B17" i="67"/>
  <c r="C16" i="67"/>
  <c r="B16" i="67"/>
  <c r="C15" i="67"/>
  <c r="B15" i="67"/>
  <c r="C14" i="67"/>
  <c r="B14" i="67"/>
  <c r="C13" i="67"/>
  <c r="B13" i="67"/>
  <c r="C12" i="67"/>
  <c r="B12" i="67"/>
  <c r="C11" i="67"/>
  <c r="B11" i="67"/>
  <c r="C10" i="67"/>
  <c r="B10" i="67"/>
  <c r="C9" i="67"/>
  <c r="B9" i="67"/>
  <c r="C8" i="67"/>
  <c r="B8" i="67"/>
  <c r="C7" i="67"/>
  <c r="B7" i="67"/>
  <c r="C6" i="67"/>
  <c r="B6" i="67"/>
  <c r="C5" i="67"/>
  <c r="B5" i="67"/>
  <c r="C4" i="67"/>
  <c r="B4" i="67"/>
  <c r="C3" i="67"/>
  <c r="B3" i="67"/>
  <c r="C2" i="67"/>
  <c r="B2" i="67"/>
  <c r="C1" i="67"/>
  <c r="B1" i="67"/>
  <c r="C20" i="66"/>
  <c r="B20" i="66"/>
  <c r="C19" i="66"/>
  <c r="B19" i="66"/>
  <c r="C18" i="66"/>
  <c r="B18" i="66"/>
  <c r="C17" i="66"/>
  <c r="B17" i="66"/>
  <c r="C16" i="66"/>
  <c r="C15" i="66"/>
  <c r="C14" i="66"/>
  <c r="C13" i="66"/>
  <c r="B13" i="66"/>
  <c r="C12" i="66"/>
  <c r="C11" i="66"/>
  <c r="B11" i="66"/>
  <c r="C10" i="66"/>
  <c r="B10" i="66"/>
  <c r="C9" i="66"/>
  <c r="B9" i="66"/>
  <c r="C8" i="66"/>
  <c r="B8" i="66"/>
  <c r="C7" i="66"/>
  <c r="B7" i="66"/>
  <c r="C6" i="66"/>
  <c r="B6" i="66"/>
  <c r="C5" i="66"/>
  <c r="C4" i="66"/>
  <c r="B4" i="66"/>
  <c r="C3" i="66"/>
  <c r="B3" i="66"/>
  <c r="C2" i="66"/>
  <c r="B2" i="66"/>
  <c r="C1" i="66"/>
  <c r="B1" i="66"/>
  <c r="C20" i="65"/>
  <c r="B20" i="65"/>
  <c r="C19" i="65"/>
  <c r="B19" i="65"/>
  <c r="C18" i="65"/>
  <c r="B18" i="65"/>
  <c r="C17" i="65"/>
  <c r="B17" i="65"/>
  <c r="C16" i="65"/>
  <c r="B16" i="65"/>
  <c r="C15" i="65"/>
  <c r="B15" i="65"/>
  <c r="C14" i="65"/>
  <c r="B14" i="65"/>
  <c r="C13" i="65"/>
  <c r="B13" i="65"/>
  <c r="C12" i="65"/>
  <c r="B12" i="65"/>
  <c r="C11" i="65"/>
  <c r="B11" i="65"/>
  <c r="C10" i="65"/>
  <c r="B10" i="65"/>
  <c r="C9" i="65"/>
  <c r="B9" i="65"/>
  <c r="C8" i="65"/>
  <c r="B8" i="65"/>
  <c r="C7" i="65"/>
  <c r="B7" i="65"/>
  <c r="C6" i="65"/>
  <c r="B6" i="65"/>
  <c r="C5" i="65"/>
  <c r="B5" i="65"/>
  <c r="C4" i="65"/>
  <c r="B4" i="65"/>
  <c r="C3" i="65"/>
  <c r="B3" i="65"/>
  <c r="C2" i="65"/>
  <c r="B2" i="65"/>
  <c r="C1" i="65"/>
  <c r="B1" i="65"/>
  <c r="B22" i="64"/>
  <c r="C20" i="64"/>
  <c r="B20" i="64"/>
  <c r="C19" i="64"/>
  <c r="B19" i="64"/>
  <c r="C18" i="64"/>
  <c r="B18" i="64"/>
  <c r="C17" i="64"/>
  <c r="B17" i="64"/>
  <c r="C16" i="64"/>
  <c r="B16" i="64"/>
  <c r="C15" i="64"/>
  <c r="B15" i="64"/>
  <c r="C14" i="64"/>
  <c r="B14" i="64"/>
  <c r="C13" i="64"/>
  <c r="B13" i="64"/>
  <c r="C12" i="64"/>
  <c r="B12" i="64"/>
  <c r="C11" i="64"/>
  <c r="B11" i="64"/>
  <c r="C10" i="64"/>
  <c r="B10" i="64"/>
  <c r="C9" i="64"/>
  <c r="B9" i="64"/>
  <c r="C8" i="64"/>
  <c r="B8" i="64"/>
  <c r="C7" i="64"/>
  <c r="B7" i="64"/>
  <c r="C6" i="64"/>
  <c r="B6" i="64"/>
  <c r="C5" i="64"/>
  <c r="B5" i="64"/>
  <c r="C4" i="64"/>
  <c r="B4" i="64"/>
  <c r="C3" i="64"/>
  <c r="B3" i="64"/>
  <c r="C2" i="64"/>
  <c r="B2" i="64"/>
  <c r="C1" i="64"/>
  <c r="B1" i="64"/>
  <c r="B20" i="63"/>
  <c r="B19" i="63"/>
  <c r="B18" i="63"/>
  <c r="B17" i="63"/>
  <c r="B16" i="63"/>
  <c r="B15" i="63"/>
  <c r="B14" i="63"/>
  <c r="B13" i="63"/>
  <c r="B12" i="63"/>
  <c r="B11" i="63"/>
  <c r="B10" i="63"/>
  <c r="B9" i="63"/>
  <c r="B8" i="63"/>
  <c r="B7" i="63"/>
  <c r="B6" i="63"/>
  <c r="B4" i="63"/>
  <c r="B3" i="63"/>
  <c r="B2" i="63"/>
  <c r="C1" i="63"/>
  <c r="B1" i="63"/>
  <c r="C20" i="62"/>
  <c r="B20" i="62"/>
  <c r="C19" i="62"/>
  <c r="B19" i="62"/>
  <c r="C18" i="62"/>
  <c r="B18" i="62"/>
  <c r="C17" i="62"/>
  <c r="B17" i="62"/>
  <c r="C16" i="62"/>
  <c r="B16" i="62"/>
  <c r="C15" i="62"/>
  <c r="B15" i="62"/>
  <c r="C14" i="62"/>
  <c r="B14" i="62"/>
  <c r="C13" i="62"/>
  <c r="B13" i="62"/>
  <c r="C12" i="62"/>
  <c r="B12" i="62"/>
  <c r="C11" i="62"/>
  <c r="B11" i="62"/>
  <c r="C10" i="62"/>
  <c r="B10" i="62"/>
  <c r="C9" i="62"/>
  <c r="B9" i="62"/>
  <c r="C8" i="62"/>
  <c r="B8" i="62"/>
  <c r="C7" i="62"/>
  <c r="B7" i="62"/>
  <c r="C6" i="62"/>
  <c r="B6" i="62"/>
  <c r="C5" i="62"/>
  <c r="B5" i="62"/>
  <c r="C4" i="62"/>
  <c r="B4" i="62"/>
  <c r="C3" i="62"/>
  <c r="B3" i="62"/>
  <c r="C2" i="62"/>
  <c r="B2" i="62"/>
  <c r="C1" i="62"/>
  <c r="B1" i="62"/>
  <c r="B22" i="61"/>
  <c r="C20" i="61"/>
  <c r="B20" i="61"/>
  <c r="C19" i="61"/>
  <c r="B19" i="61"/>
  <c r="C18" i="61"/>
  <c r="B18" i="61"/>
  <c r="C17" i="61"/>
  <c r="B17" i="61"/>
  <c r="C16" i="61"/>
  <c r="B16" i="61"/>
  <c r="C15" i="61"/>
  <c r="B15" i="61"/>
  <c r="C14" i="61"/>
  <c r="B14" i="61"/>
  <c r="C13" i="61"/>
  <c r="B13" i="61"/>
  <c r="C12" i="61"/>
  <c r="B12" i="61"/>
  <c r="C11" i="61"/>
  <c r="B11" i="61"/>
  <c r="C10" i="61"/>
  <c r="B10" i="61"/>
  <c r="C9" i="61"/>
  <c r="B9" i="61"/>
  <c r="C8" i="61"/>
  <c r="B8" i="61"/>
  <c r="C7" i="61"/>
  <c r="B7" i="61"/>
  <c r="C6" i="61"/>
  <c r="B6" i="61"/>
  <c r="C5" i="61"/>
  <c r="B5" i="61"/>
  <c r="C4" i="61"/>
  <c r="B4" i="61"/>
  <c r="C3" i="61"/>
  <c r="B3" i="61"/>
  <c r="C2" i="61"/>
  <c r="B2" i="61"/>
  <c r="C1" i="61"/>
  <c r="B1" i="61"/>
  <c r="C20" i="60"/>
  <c r="B20" i="60"/>
  <c r="C19" i="60"/>
  <c r="B19" i="60"/>
  <c r="C18" i="60"/>
  <c r="B18" i="60"/>
  <c r="C17" i="60"/>
  <c r="B17" i="60"/>
  <c r="C16" i="60"/>
  <c r="B16" i="60"/>
  <c r="C15" i="60"/>
  <c r="B15" i="60"/>
  <c r="C14" i="60"/>
  <c r="B14" i="60"/>
  <c r="C13" i="60"/>
  <c r="B13" i="60"/>
  <c r="C12" i="60"/>
  <c r="B12" i="60"/>
  <c r="C11" i="60"/>
  <c r="B11" i="60"/>
  <c r="C10" i="60"/>
  <c r="B10" i="60"/>
  <c r="C9" i="60"/>
  <c r="B9" i="60"/>
  <c r="C8" i="60"/>
  <c r="B8" i="60"/>
  <c r="C7" i="60"/>
  <c r="B7" i="60"/>
  <c r="C6" i="60"/>
  <c r="B6" i="60"/>
  <c r="C5" i="60"/>
  <c r="C4" i="60"/>
  <c r="B4" i="60"/>
  <c r="C3" i="60"/>
  <c r="B3" i="60"/>
  <c r="C2" i="60"/>
  <c r="B2" i="60"/>
  <c r="C1" i="60"/>
  <c r="B1" i="60"/>
  <c r="C20" i="59"/>
  <c r="B20" i="59"/>
  <c r="C19" i="59"/>
  <c r="B19" i="59"/>
  <c r="C18" i="59"/>
  <c r="B18" i="59"/>
  <c r="C17" i="59"/>
  <c r="B17" i="59"/>
  <c r="C16" i="59"/>
  <c r="B16" i="59"/>
  <c r="C15" i="59"/>
  <c r="B15" i="59"/>
  <c r="C14" i="59"/>
  <c r="B14" i="59"/>
  <c r="C13" i="59"/>
  <c r="B13" i="59"/>
  <c r="C12" i="59"/>
  <c r="B12" i="59"/>
  <c r="C11" i="59"/>
  <c r="B11" i="59"/>
  <c r="C10" i="59"/>
  <c r="B10" i="59"/>
  <c r="C9" i="59"/>
  <c r="B9" i="59"/>
  <c r="C8" i="59"/>
  <c r="B8" i="59"/>
  <c r="C7" i="59"/>
  <c r="B7" i="59"/>
  <c r="C6" i="59"/>
  <c r="B6" i="59"/>
  <c r="C5" i="59"/>
  <c r="C4" i="59"/>
  <c r="B4" i="59"/>
  <c r="C3" i="59"/>
  <c r="B3" i="59"/>
  <c r="C2" i="59"/>
  <c r="B2" i="59"/>
  <c r="C1" i="59"/>
  <c r="B1" i="59"/>
  <c r="C20" i="58"/>
  <c r="B20" i="58"/>
  <c r="C19" i="58"/>
  <c r="B19" i="58"/>
  <c r="C18" i="58"/>
  <c r="B18" i="58"/>
  <c r="C17" i="58"/>
  <c r="B17" i="58"/>
  <c r="C16" i="58"/>
  <c r="B16" i="58"/>
  <c r="C15" i="58"/>
  <c r="B15" i="58"/>
  <c r="C14" i="58"/>
  <c r="B14" i="58"/>
  <c r="C13" i="58"/>
  <c r="B13" i="58"/>
  <c r="C12" i="58"/>
  <c r="B12" i="58"/>
  <c r="C11" i="58"/>
  <c r="B11" i="58"/>
  <c r="C10" i="58"/>
  <c r="B10" i="58"/>
  <c r="C9" i="58"/>
  <c r="B9" i="58"/>
  <c r="C8" i="58"/>
  <c r="B8" i="58"/>
  <c r="C7" i="58"/>
  <c r="B7" i="58"/>
  <c r="C6" i="58"/>
  <c r="B6" i="58"/>
  <c r="C5" i="58"/>
  <c r="C4" i="58"/>
  <c r="B4" i="58"/>
  <c r="C3" i="58"/>
  <c r="B3" i="58"/>
  <c r="C2" i="58"/>
  <c r="B2" i="58"/>
  <c r="C1" i="58"/>
  <c r="B1" i="58"/>
  <c r="C20" i="57"/>
  <c r="B20" i="57"/>
  <c r="C19" i="57"/>
  <c r="B19" i="57"/>
  <c r="C18" i="57"/>
  <c r="B18" i="57"/>
  <c r="C17" i="57"/>
  <c r="B17" i="57"/>
  <c r="C16" i="57"/>
  <c r="B16" i="57"/>
  <c r="C15" i="57"/>
  <c r="B15" i="57"/>
  <c r="C14" i="57"/>
  <c r="B14" i="57"/>
  <c r="C13" i="57"/>
  <c r="B13" i="57"/>
  <c r="C12" i="57"/>
  <c r="B12" i="57"/>
  <c r="C11" i="57"/>
  <c r="B11" i="57"/>
  <c r="C10" i="57"/>
  <c r="B10" i="57"/>
  <c r="C9" i="57"/>
  <c r="B9" i="57"/>
  <c r="C8" i="57"/>
  <c r="B8" i="57"/>
  <c r="C7" i="57"/>
  <c r="B7" i="57"/>
  <c r="C6" i="57"/>
  <c r="B6" i="57"/>
  <c r="C5" i="57"/>
  <c r="C4" i="57"/>
  <c r="B4" i="57"/>
  <c r="C3" i="57"/>
  <c r="B3" i="57"/>
  <c r="C2" i="57"/>
  <c r="B2" i="57"/>
  <c r="C1" i="57"/>
  <c r="B1" i="57"/>
  <c r="C20" i="56"/>
  <c r="B20" i="56"/>
  <c r="C19" i="56"/>
  <c r="B19" i="56"/>
  <c r="C18" i="56"/>
  <c r="B18" i="56"/>
  <c r="C17" i="56"/>
  <c r="B17" i="56"/>
  <c r="C16" i="56"/>
  <c r="B16" i="56"/>
  <c r="C15" i="56"/>
  <c r="B15" i="56"/>
  <c r="C14" i="56"/>
  <c r="B14" i="56"/>
  <c r="C13" i="56"/>
  <c r="B13" i="56"/>
  <c r="C12" i="56"/>
  <c r="B12" i="56"/>
  <c r="C11" i="56"/>
  <c r="B11" i="56"/>
  <c r="C10" i="56"/>
  <c r="B10" i="56"/>
  <c r="C9" i="56"/>
  <c r="B9" i="56"/>
  <c r="C8" i="56"/>
  <c r="B8" i="56"/>
  <c r="C7" i="56"/>
  <c r="B7" i="56"/>
  <c r="C6" i="56"/>
  <c r="B6" i="56"/>
  <c r="C5" i="56"/>
  <c r="B5" i="56"/>
  <c r="C4" i="56"/>
  <c r="B4" i="56"/>
  <c r="C3" i="56"/>
  <c r="B3" i="56"/>
  <c r="C2" i="56"/>
  <c r="B2" i="56"/>
  <c r="C1" i="56"/>
  <c r="B1" i="56"/>
  <c r="C20" i="55"/>
  <c r="B20" i="55"/>
  <c r="C19" i="55"/>
  <c r="B19" i="55"/>
  <c r="C18" i="55"/>
  <c r="B18" i="55"/>
  <c r="C17" i="55"/>
  <c r="B17" i="55"/>
  <c r="C16" i="55"/>
  <c r="B16" i="55"/>
  <c r="C15" i="55"/>
  <c r="B15" i="55"/>
  <c r="C14" i="55"/>
  <c r="B14" i="55"/>
  <c r="C13" i="55"/>
  <c r="B13" i="55"/>
  <c r="C12" i="55"/>
  <c r="B12" i="55"/>
  <c r="C11" i="55"/>
  <c r="B11" i="55"/>
  <c r="C10" i="55"/>
  <c r="B10" i="55"/>
  <c r="C9" i="55"/>
  <c r="B9" i="55"/>
  <c r="C8" i="55"/>
  <c r="B8" i="55"/>
  <c r="C7" i="55"/>
  <c r="B7" i="55"/>
  <c r="C6" i="55"/>
  <c r="B6" i="55"/>
  <c r="C5" i="55"/>
  <c r="B5" i="55"/>
  <c r="C4" i="55"/>
  <c r="B4" i="55"/>
  <c r="C3" i="55"/>
  <c r="B3" i="55"/>
  <c r="C2" i="55"/>
  <c r="B2" i="55"/>
  <c r="C1" i="55"/>
  <c r="B1" i="55"/>
  <c r="C20" i="54"/>
  <c r="B20" i="54"/>
  <c r="C19" i="54"/>
  <c r="B19" i="54"/>
  <c r="C18" i="54"/>
  <c r="B18" i="54"/>
  <c r="C17" i="54"/>
  <c r="B17" i="54"/>
  <c r="C16" i="54"/>
  <c r="B16" i="54"/>
  <c r="C15" i="54"/>
  <c r="B15" i="54"/>
  <c r="C14" i="54"/>
  <c r="B14" i="54"/>
  <c r="C13" i="54"/>
  <c r="B13" i="54"/>
  <c r="C12" i="54"/>
  <c r="B12" i="54"/>
  <c r="C11" i="54"/>
  <c r="B11" i="54"/>
  <c r="C10" i="54"/>
  <c r="B10" i="54"/>
  <c r="C9" i="54"/>
  <c r="B9" i="54"/>
  <c r="C8" i="54"/>
  <c r="B8" i="54"/>
  <c r="C7" i="54"/>
  <c r="B7" i="54"/>
  <c r="C6" i="54"/>
  <c r="B6" i="54"/>
  <c r="C5" i="54"/>
  <c r="B5" i="54"/>
  <c r="C4" i="54"/>
  <c r="B4" i="54"/>
  <c r="C3" i="54"/>
  <c r="B3" i="54"/>
  <c r="C2" i="54"/>
  <c r="B2" i="54"/>
  <c r="C1" i="54"/>
  <c r="B1" i="54"/>
  <c r="C20" i="53"/>
  <c r="B20" i="53"/>
  <c r="C19" i="53"/>
  <c r="B19" i="53"/>
  <c r="C18" i="53"/>
  <c r="B18" i="53"/>
  <c r="C17" i="53"/>
  <c r="B17" i="53"/>
  <c r="C16" i="53"/>
  <c r="B16" i="53"/>
  <c r="C15" i="53"/>
  <c r="B15" i="53"/>
  <c r="C14" i="53"/>
  <c r="B14" i="53"/>
  <c r="C13" i="53"/>
  <c r="B13" i="53"/>
  <c r="C12" i="53"/>
  <c r="B12" i="53"/>
  <c r="C11" i="53"/>
  <c r="B11" i="53"/>
  <c r="C10" i="53"/>
  <c r="B10" i="53"/>
  <c r="C9" i="53"/>
  <c r="B9" i="53"/>
  <c r="C8" i="53"/>
  <c r="B8" i="53"/>
  <c r="C7" i="53"/>
  <c r="B7" i="53"/>
  <c r="C6" i="53"/>
  <c r="B6" i="53"/>
  <c r="C5" i="53"/>
  <c r="B5" i="53"/>
  <c r="C4" i="53"/>
  <c r="B4" i="53"/>
  <c r="C3" i="53"/>
  <c r="B3" i="53"/>
  <c r="C2" i="53"/>
  <c r="B2" i="53"/>
  <c r="C1" i="53"/>
  <c r="B1" i="53"/>
  <c r="C20" i="52"/>
  <c r="B20" i="52"/>
  <c r="C19" i="52"/>
  <c r="B19" i="52"/>
  <c r="C18" i="52"/>
  <c r="B18" i="52"/>
  <c r="C17" i="52"/>
  <c r="B17" i="52"/>
  <c r="C16" i="52"/>
  <c r="B16" i="52"/>
  <c r="C15" i="52"/>
  <c r="B15" i="52"/>
  <c r="C14" i="52"/>
  <c r="B14" i="52"/>
  <c r="C13" i="52"/>
  <c r="B13" i="52"/>
  <c r="C12" i="52"/>
  <c r="B12" i="52"/>
  <c r="C11" i="52"/>
  <c r="B11" i="52"/>
  <c r="C10" i="52"/>
  <c r="B10" i="52"/>
  <c r="C9" i="52"/>
  <c r="B9" i="52"/>
  <c r="C8" i="52"/>
  <c r="B8" i="52"/>
  <c r="C7" i="52"/>
  <c r="B7" i="52"/>
  <c r="C6" i="52"/>
  <c r="B6" i="52"/>
  <c r="C5" i="52"/>
  <c r="B5" i="52"/>
  <c r="C4" i="52"/>
  <c r="B4" i="52"/>
  <c r="C3" i="52"/>
  <c r="B3" i="52"/>
  <c r="C2" i="52"/>
  <c r="B2" i="52"/>
  <c r="C1" i="52"/>
  <c r="B1" i="52"/>
  <c r="C20" i="51"/>
  <c r="B20" i="51"/>
  <c r="C19" i="51"/>
  <c r="B19" i="51"/>
  <c r="C18" i="51"/>
  <c r="B18" i="51"/>
  <c r="C17" i="51"/>
  <c r="B17" i="51"/>
  <c r="C16" i="51"/>
  <c r="B16" i="51"/>
  <c r="C15" i="51"/>
  <c r="B15" i="51"/>
  <c r="C14" i="51"/>
  <c r="B14" i="51"/>
  <c r="C13" i="51"/>
  <c r="B13" i="51"/>
  <c r="C12" i="51"/>
  <c r="B12" i="51"/>
  <c r="C11" i="51"/>
  <c r="B11" i="51"/>
  <c r="C10" i="51"/>
  <c r="B10" i="51"/>
  <c r="C9" i="51"/>
  <c r="B9" i="51"/>
  <c r="C8" i="51"/>
  <c r="B8" i="51"/>
  <c r="C7" i="51"/>
  <c r="B7" i="51"/>
  <c r="C6" i="51"/>
  <c r="B6" i="51"/>
  <c r="C5" i="51"/>
  <c r="C4" i="51"/>
  <c r="B4" i="51"/>
  <c r="C3" i="51"/>
  <c r="B3" i="51"/>
  <c r="C2" i="51"/>
  <c r="B2" i="51"/>
  <c r="C1" i="51"/>
  <c r="B1" i="51"/>
  <c r="C20" i="50"/>
  <c r="B20" i="50"/>
  <c r="C19" i="50"/>
  <c r="B19" i="50"/>
  <c r="C18" i="50"/>
  <c r="B18" i="50"/>
  <c r="C17" i="50"/>
  <c r="B17" i="50"/>
  <c r="C16" i="50"/>
  <c r="B16" i="50"/>
  <c r="C15" i="50"/>
  <c r="B15" i="50"/>
  <c r="C14" i="50"/>
  <c r="B14" i="50"/>
  <c r="C13" i="50"/>
  <c r="B13" i="50"/>
  <c r="C12" i="50"/>
  <c r="B12" i="50"/>
  <c r="C11" i="50"/>
  <c r="B11" i="50"/>
  <c r="C10" i="50"/>
  <c r="B10" i="50"/>
  <c r="C9" i="50"/>
  <c r="B9" i="50"/>
  <c r="C8" i="50"/>
  <c r="B8" i="50"/>
  <c r="C7" i="50"/>
  <c r="B7" i="50"/>
  <c r="C6" i="50"/>
  <c r="B6" i="50"/>
  <c r="C5" i="50"/>
  <c r="B5" i="50"/>
  <c r="C4" i="50"/>
  <c r="B4" i="50"/>
  <c r="C3" i="50"/>
  <c r="B3" i="50"/>
  <c r="C2" i="50"/>
  <c r="B2" i="50"/>
  <c r="C1" i="50"/>
  <c r="B1" i="50"/>
  <c r="B22" i="49"/>
  <c r="C20" i="49"/>
  <c r="B20" i="49"/>
  <c r="C19" i="49"/>
  <c r="B19" i="49"/>
  <c r="C18" i="49"/>
  <c r="B18" i="49"/>
  <c r="C17" i="49"/>
  <c r="B17" i="49"/>
  <c r="C16" i="49"/>
  <c r="B16" i="49"/>
  <c r="C15" i="49"/>
  <c r="B15" i="49"/>
  <c r="C14" i="49"/>
  <c r="B14" i="49"/>
  <c r="C13" i="49"/>
  <c r="B13" i="49"/>
  <c r="C12" i="49"/>
  <c r="B12" i="49"/>
  <c r="C11" i="49"/>
  <c r="B11" i="49"/>
  <c r="C10" i="49"/>
  <c r="B10" i="49"/>
  <c r="C9" i="49"/>
  <c r="B9" i="49"/>
  <c r="C8" i="49"/>
  <c r="B8" i="49"/>
  <c r="C7" i="49"/>
  <c r="B7" i="49"/>
  <c r="C6" i="49"/>
  <c r="B6" i="49"/>
  <c r="C5" i="49"/>
  <c r="B5" i="49"/>
  <c r="C4" i="49"/>
  <c r="B4" i="49"/>
  <c r="C3" i="49"/>
  <c r="B3" i="49"/>
  <c r="C2" i="49"/>
  <c r="B2" i="49"/>
  <c r="C1" i="49"/>
  <c r="B1" i="49"/>
  <c r="C20" i="48"/>
  <c r="B20" i="48"/>
  <c r="C19" i="48"/>
  <c r="B19" i="48"/>
  <c r="C18" i="48"/>
  <c r="B18" i="48"/>
  <c r="C17" i="48"/>
  <c r="B17" i="48"/>
  <c r="C16" i="48"/>
  <c r="B16" i="48"/>
  <c r="C15" i="48"/>
  <c r="B15" i="48"/>
  <c r="C14" i="48"/>
  <c r="B14" i="48"/>
  <c r="C13" i="48"/>
  <c r="B13" i="48"/>
  <c r="C12" i="48"/>
  <c r="B12" i="48"/>
  <c r="C11" i="48"/>
  <c r="B11" i="48"/>
  <c r="C10" i="48"/>
  <c r="B10" i="48"/>
  <c r="C9" i="48"/>
  <c r="B9" i="48"/>
  <c r="C8" i="48"/>
  <c r="B8" i="48"/>
  <c r="C7" i="48"/>
  <c r="B7" i="48"/>
  <c r="C6" i="48"/>
  <c r="B6" i="48"/>
  <c r="C5" i="48"/>
  <c r="B5" i="48"/>
  <c r="C4" i="48"/>
  <c r="B4" i="48"/>
  <c r="C3" i="48"/>
  <c r="B3" i="48"/>
  <c r="C2" i="48"/>
  <c r="B2" i="48"/>
  <c r="C1" i="48"/>
  <c r="B1" i="48"/>
  <c r="C22" i="47"/>
  <c r="C20" i="47"/>
  <c r="B20" i="47"/>
  <c r="C19" i="47"/>
  <c r="B19" i="47"/>
  <c r="C18" i="47"/>
  <c r="B18" i="47"/>
  <c r="C17" i="47"/>
  <c r="B17" i="47"/>
  <c r="C16" i="47"/>
  <c r="B16" i="47"/>
  <c r="C15" i="47"/>
  <c r="B15" i="47"/>
  <c r="C14" i="47"/>
  <c r="B14" i="47"/>
  <c r="C13" i="47"/>
  <c r="B13" i="47"/>
  <c r="C12" i="47"/>
  <c r="B12" i="47"/>
  <c r="C11" i="47"/>
  <c r="B11" i="47"/>
  <c r="C10" i="47"/>
  <c r="B10" i="47"/>
  <c r="C9" i="47"/>
  <c r="B9" i="47"/>
  <c r="C8" i="47"/>
  <c r="B8" i="47"/>
  <c r="C7" i="47"/>
  <c r="B7" i="47"/>
  <c r="C6" i="47"/>
  <c r="B6" i="47"/>
  <c r="B5" i="47"/>
  <c r="C4" i="47"/>
  <c r="B4" i="47"/>
  <c r="C3" i="47"/>
  <c r="B3" i="47"/>
  <c r="C2" i="47"/>
  <c r="B2" i="47"/>
  <c r="C1" i="47"/>
  <c r="B1" i="47"/>
  <c r="C20" i="46"/>
  <c r="B20" i="46"/>
  <c r="C19" i="46"/>
  <c r="B19" i="46"/>
  <c r="C18" i="46"/>
  <c r="B18" i="46"/>
  <c r="C17" i="46"/>
  <c r="B17" i="46"/>
  <c r="C16" i="46"/>
  <c r="B16" i="46"/>
  <c r="C15" i="46"/>
  <c r="B15" i="46"/>
  <c r="C14" i="46"/>
  <c r="B14" i="46"/>
  <c r="C13" i="46"/>
  <c r="B13" i="46"/>
  <c r="C12" i="46"/>
  <c r="B12" i="46"/>
  <c r="C11" i="46"/>
  <c r="B11" i="46"/>
  <c r="C10" i="46"/>
  <c r="B10" i="46"/>
  <c r="C9" i="46"/>
  <c r="B9" i="46"/>
  <c r="C8" i="46"/>
  <c r="B8" i="46"/>
  <c r="C7" i="46"/>
  <c r="B7" i="46"/>
  <c r="C6" i="46"/>
  <c r="B6" i="46"/>
  <c r="C5" i="46"/>
  <c r="B5" i="46"/>
  <c r="C4" i="46"/>
  <c r="B4" i="46"/>
  <c r="C3" i="46"/>
  <c r="B3" i="46"/>
  <c r="C2" i="46"/>
  <c r="B2" i="46"/>
  <c r="C1" i="46"/>
  <c r="B1" i="46"/>
  <c r="C20" i="45"/>
  <c r="B20" i="45"/>
  <c r="C19" i="45"/>
  <c r="B19" i="45"/>
  <c r="C18" i="45"/>
  <c r="B18" i="45"/>
  <c r="C17" i="45"/>
  <c r="B17" i="45"/>
  <c r="C16" i="45"/>
  <c r="B16" i="45"/>
  <c r="C15" i="45"/>
  <c r="B15" i="45"/>
  <c r="C14" i="45"/>
  <c r="B14" i="45"/>
  <c r="C13" i="45"/>
  <c r="B13" i="45"/>
  <c r="C12" i="45"/>
  <c r="B12" i="45"/>
  <c r="C11" i="45"/>
  <c r="B11" i="45"/>
  <c r="C10" i="45"/>
  <c r="B10" i="45"/>
  <c r="C9" i="45"/>
  <c r="B9" i="45"/>
  <c r="C8" i="45"/>
  <c r="B8" i="45"/>
  <c r="C7" i="45"/>
  <c r="B7" i="45"/>
  <c r="C6" i="45"/>
  <c r="B6" i="45"/>
  <c r="C5" i="45"/>
  <c r="B5" i="45"/>
  <c r="C4" i="45"/>
  <c r="B4" i="45"/>
  <c r="C3" i="45"/>
  <c r="B3" i="45"/>
  <c r="C2" i="45"/>
  <c r="B2" i="45"/>
  <c r="C1" i="45"/>
  <c r="B1" i="45"/>
  <c r="C20" i="44"/>
  <c r="B20" i="44"/>
  <c r="C19" i="44"/>
  <c r="B19" i="44"/>
  <c r="C18" i="44"/>
  <c r="B18" i="44"/>
  <c r="C17" i="44"/>
  <c r="B17" i="44"/>
  <c r="C16" i="44"/>
  <c r="B16" i="44"/>
  <c r="C15" i="44"/>
  <c r="B15" i="44"/>
  <c r="C14" i="44"/>
  <c r="B14" i="44"/>
  <c r="C13" i="44"/>
  <c r="B13" i="44"/>
  <c r="C12" i="44"/>
  <c r="B12" i="44"/>
  <c r="C11" i="44"/>
  <c r="B11" i="44"/>
  <c r="C10" i="44"/>
  <c r="B10" i="44"/>
  <c r="C9" i="44"/>
  <c r="B9" i="44"/>
  <c r="C8" i="44"/>
  <c r="B8" i="44"/>
  <c r="C7" i="44"/>
  <c r="B7" i="44"/>
  <c r="C6" i="44"/>
  <c r="B6" i="44"/>
  <c r="C5" i="44"/>
  <c r="B5" i="44"/>
  <c r="C4" i="44"/>
  <c r="B4" i="44"/>
  <c r="C3" i="44"/>
  <c r="B3" i="44"/>
  <c r="C2" i="44"/>
  <c r="B2" i="44"/>
  <c r="C1" i="44"/>
  <c r="B1" i="44"/>
  <c r="C20" i="43"/>
  <c r="B20" i="43"/>
  <c r="C19" i="43"/>
  <c r="B19" i="43"/>
  <c r="C18" i="43"/>
  <c r="B18" i="43"/>
  <c r="C17" i="43"/>
  <c r="B17" i="43"/>
  <c r="C16" i="43"/>
  <c r="B16" i="43"/>
  <c r="C15" i="43"/>
  <c r="B15" i="43"/>
  <c r="C14" i="43"/>
  <c r="B14" i="43"/>
  <c r="C13" i="43"/>
  <c r="B13" i="43"/>
  <c r="C12" i="43"/>
  <c r="B12" i="43"/>
  <c r="C11" i="43"/>
  <c r="B11" i="43"/>
  <c r="C10" i="43"/>
  <c r="B10" i="43"/>
  <c r="C9" i="43"/>
  <c r="B9" i="43"/>
  <c r="C8" i="43"/>
  <c r="B8" i="43"/>
  <c r="C7" i="43"/>
  <c r="B7" i="43"/>
  <c r="C6" i="43"/>
  <c r="B6" i="43"/>
  <c r="C5" i="43"/>
  <c r="B5" i="43"/>
  <c r="C4" i="43"/>
  <c r="B4" i="43"/>
  <c r="C3" i="43"/>
  <c r="B3" i="43"/>
  <c r="C2" i="43"/>
  <c r="B2" i="43"/>
  <c r="C1" i="43"/>
  <c r="B1" i="43"/>
  <c r="C20" i="42"/>
  <c r="B20" i="42"/>
  <c r="C19" i="42"/>
  <c r="B19" i="42"/>
  <c r="C18" i="42"/>
  <c r="B18" i="42"/>
  <c r="C17" i="42"/>
  <c r="B17" i="42"/>
  <c r="C16" i="42"/>
  <c r="B16" i="42"/>
  <c r="C15" i="42"/>
  <c r="B15" i="42"/>
  <c r="C14" i="42"/>
  <c r="B14" i="42"/>
  <c r="C13" i="42"/>
  <c r="B13" i="42"/>
  <c r="C12" i="42"/>
  <c r="B12" i="42"/>
  <c r="C11" i="42"/>
  <c r="B11" i="42"/>
  <c r="C10" i="42"/>
  <c r="B10" i="42"/>
  <c r="C9" i="42"/>
  <c r="B9" i="42"/>
  <c r="C8" i="42"/>
  <c r="B8" i="42"/>
  <c r="C7" i="42"/>
  <c r="B7" i="42"/>
  <c r="C6" i="42"/>
  <c r="B6" i="42"/>
  <c r="C5" i="42"/>
  <c r="B5" i="42"/>
  <c r="C4" i="42"/>
  <c r="B4" i="42"/>
  <c r="C3" i="42"/>
  <c r="B3" i="42"/>
  <c r="C2" i="42"/>
  <c r="B2" i="42"/>
  <c r="C1" i="42"/>
  <c r="B1" i="42"/>
  <c r="C20" i="41"/>
  <c r="B20" i="41"/>
  <c r="B19" i="41"/>
  <c r="B18" i="41"/>
  <c r="B17" i="41"/>
  <c r="B16" i="41"/>
  <c r="B15" i="41"/>
  <c r="B14" i="41"/>
  <c r="B13" i="41"/>
  <c r="B12" i="41"/>
  <c r="B11" i="41"/>
  <c r="B10" i="41"/>
  <c r="B9" i="41"/>
  <c r="B8" i="41"/>
  <c r="B7" i="41"/>
  <c r="B6" i="41"/>
  <c r="B5" i="41"/>
  <c r="B4" i="41"/>
  <c r="C3" i="41"/>
  <c r="B3" i="41"/>
  <c r="C2" i="41"/>
  <c r="B2" i="41"/>
  <c r="C1" i="41"/>
  <c r="B1" i="41"/>
  <c r="C20" i="40"/>
  <c r="B20" i="40"/>
  <c r="C19" i="40"/>
  <c r="B19" i="40"/>
  <c r="C18" i="40"/>
  <c r="B18" i="40"/>
  <c r="C17" i="40"/>
  <c r="B17" i="40"/>
  <c r="C16" i="40"/>
  <c r="B16" i="40"/>
  <c r="C15" i="40"/>
  <c r="B15" i="40"/>
  <c r="C14" i="40"/>
  <c r="B14" i="40"/>
  <c r="C13" i="40"/>
  <c r="B13" i="40"/>
  <c r="C12" i="40"/>
  <c r="B12" i="40"/>
  <c r="C11" i="40"/>
  <c r="B11" i="40"/>
  <c r="C10" i="40"/>
  <c r="B10" i="40"/>
  <c r="C9" i="40"/>
  <c r="B9" i="40"/>
  <c r="C8" i="40"/>
  <c r="B8" i="40"/>
  <c r="C7" i="40"/>
  <c r="B7" i="40"/>
  <c r="C6" i="40"/>
  <c r="B6" i="40"/>
  <c r="C5" i="40"/>
  <c r="B5" i="40"/>
  <c r="C4" i="40"/>
  <c r="B4" i="40"/>
  <c r="C3" i="40"/>
  <c r="B3" i="40"/>
  <c r="C2" i="40"/>
  <c r="B2" i="40"/>
  <c r="C1" i="40"/>
  <c r="B1" i="40"/>
  <c r="C20" i="39"/>
  <c r="B20" i="39"/>
  <c r="C19" i="39"/>
  <c r="B19" i="39"/>
  <c r="C18" i="39"/>
  <c r="B18" i="39"/>
  <c r="C17" i="39"/>
  <c r="B17" i="39"/>
  <c r="C16" i="39"/>
  <c r="B16" i="39"/>
  <c r="C15" i="39"/>
  <c r="B15" i="39"/>
  <c r="C14" i="39"/>
  <c r="B14" i="39"/>
  <c r="C13" i="39"/>
  <c r="B13" i="39"/>
  <c r="C12" i="39"/>
  <c r="B12" i="39"/>
  <c r="C11" i="39"/>
  <c r="B11" i="39"/>
  <c r="C10" i="39"/>
  <c r="B10" i="39"/>
  <c r="C9" i="39"/>
  <c r="B9" i="39"/>
  <c r="C8" i="39"/>
  <c r="B8" i="39"/>
  <c r="C7" i="39"/>
  <c r="B7" i="39"/>
  <c r="C6" i="39"/>
  <c r="B6" i="39"/>
  <c r="C5" i="39"/>
  <c r="B5" i="39"/>
  <c r="C4" i="39"/>
  <c r="B4" i="39"/>
  <c r="C3" i="39"/>
  <c r="B3" i="39"/>
  <c r="C2" i="39"/>
  <c r="B2" i="39"/>
  <c r="C1" i="39"/>
  <c r="B1" i="39"/>
  <c r="C20" i="38"/>
  <c r="B20" i="38"/>
  <c r="C19" i="38"/>
  <c r="B19" i="38"/>
  <c r="C18" i="38"/>
  <c r="B18" i="38"/>
  <c r="C17" i="38"/>
  <c r="B17" i="38"/>
  <c r="C16" i="38"/>
  <c r="B16" i="38"/>
  <c r="C15" i="38"/>
  <c r="B15" i="38"/>
  <c r="C14" i="38"/>
  <c r="B14" i="38"/>
  <c r="C13" i="38"/>
  <c r="B13" i="38"/>
  <c r="C12" i="38"/>
  <c r="B12" i="38"/>
  <c r="C11" i="38"/>
  <c r="B11" i="38"/>
  <c r="C10" i="38"/>
  <c r="B10" i="38"/>
  <c r="C9" i="38"/>
  <c r="B9" i="38"/>
  <c r="C8" i="38"/>
  <c r="B8" i="38"/>
  <c r="C7" i="38"/>
  <c r="B7" i="38"/>
  <c r="C6" i="38"/>
  <c r="B6" i="38"/>
  <c r="C5" i="38"/>
  <c r="B5" i="38"/>
  <c r="C4" i="38"/>
  <c r="B4" i="38"/>
  <c r="C3" i="38"/>
  <c r="B3" i="38"/>
  <c r="C2" i="38"/>
  <c r="B2" i="38"/>
  <c r="C1" i="38"/>
  <c r="B1" i="38"/>
  <c r="C20" i="37"/>
  <c r="B20" i="37"/>
  <c r="C19" i="37"/>
  <c r="B19" i="37"/>
  <c r="C18" i="37"/>
  <c r="B18" i="37"/>
  <c r="C17" i="37"/>
  <c r="B17" i="37"/>
  <c r="C16" i="37"/>
  <c r="B16" i="37"/>
  <c r="C15" i="37"/>
  <c r="B15" i="37"/>
  <c r="C14" i="37"/>
  <c r="B14" i="37"/>
  <c r="C13" i="37"/>
  <c r="B13" i="37"/>
  <c r="C12" i="37"/>
  <c r="B12" i="37"/>
  <c r="C11" i="37"/>
  <c r="B11" i="37"/>
  <c r="C10" i="37"/>
  <c r="B10" i="37"/>
  <c r="C9" i="37"/>
  <c r="B9" i="37"/>
  <c r="C8" i="37"/>
  <c r="B8" i="37"/>
  <c r="C7" i="37"/>
  <c r="B7" i="37"/>
  <c r="C6" i="37"/>
  <c r="B6" i="37"/>
  <c r="C5" i="37"/>
  <c r="B5" i="37"/>
  <c r="C4" i="37"/>
  <c r="B4" i="37"/>
  <c r="C3" i="37"/>
  <c r="B3" i="37"/>
  <c r="C2" i="37"/>
  <c r="B2" i="37"/>
  <c r="C1" i="37"/>
  <c r="B1" i="37"/>
  <c r="C20" i="36"/>
  <c r="B20" i="36"/>
  <c r="C19" i="36"/>
  <c r="B19" i="36"/>
  <c r="C18" i="36"/>
  <c r="B18" i="36"/>
  <c r="C17" i="36"/>
  <c r="B17" i="36"/>
  <c r="C16" i="36"/>
  <c r="B16" i="36"/>
  <c r="C15" i="36"/>
  <c r="B15" i="36"/>
  <c r="C14" i="36"/>
  <c r="B14" i="36"/>
  <c r="C13" i="36"/>
  <c r="B13" i="36"/>
  <c r="C12" i="36"/>
  <c r="B12" i="36"/>
  <c r="C11" i="36"/>
  <c r="B11" i="36"/>
  <c r="C10" i="36"/>
  <c r="B10" i="36"/>
  <c r="C9" i="36"/>
  <c r="B9" i="36"/>
  <c r="C8" i="36"/>
  <c r="B8" i="36"/>
  <c r="C7" i="36"/>
  <c r="B7" i="36"/>
  <c r="C6" i="36"/>
  <c r="B6" i="36"/>
  <c r="C5" i="36"/>
  <c r="C4" i="36"/>
  <c r="B4" i="36"/>
  <c r="C3" i="36"/>
  <c r="B3" i="36"/>
  <c r="C2" i="36"/>
  <c r="B2" i="36"/>
  <c r="C1" i="36"/>
  <c r="B1" i="36"/>
  <c r="C20" i="35"/>
  <c r="B20" i="35"/>
  <c r="C19" i="35"/>
  <c r="B19" i="35"/>
  <c r="C18" i="35"/>
  <c r="B18" i="35"/>
  <c r="C17" i="35"/>
  <c r="B17" i="35"/>
  <c r="C16" i="35"/>
  <c r="B16" i="35"/>
  <c r="C15" i="35"/>
  <c r="B15" i="35"/>
  <c r="C14" i="35"/>
  <c r="B14" i="35"/>
  <c r="C13" i="35"/>
  <c r="B13" i="35"/>
  <c r="C12" i="35"/>
  <c r="B12" i="35"/>
  <c r="C11" i="35"/>
  <c r="B11" i="35"/>
  <c r="C10" i="35"/>
  <c r="B10" i="35"/>
  <c r="C9" i="35"/>
  <c r="B9" i="35"/>
  <c r="C8" i="35"/>
  <c r="B8" i="35"/>
  <c r="C7" i="35"/>
  <c r="B7" i="35"/>
  <c r="C6" i="35"/>
  <c r="B6" i="35"/>
  <c r="C5" i="35"/>
  <c r="B5" i="35"/>
  <c r="C4" i="35"/>
  <c r="B4" i="35"/>
  <c r="C3" i="35"/>
  <c r="B3" i="35"/>
  <c r="C2" i="35"/>
  <c r="B2" i="35"/>
  <c r="C1" i="35"/>
  <c r="B1" i="35"/>
  <c r="C20" i="34"/>
  <c r="B20" i="34"/>
  <c r="C19" i="34"/>
  <c r="B19" i="34"/>
  <c r="C18" i="34"/>
  <c r="B18" i="34"/>
  <c r="C17" i="34"/>
  <c r="B17" i="34"/>
  <c r="C16" i="34"/>
  <c r="B16" i="34"/>
  <c r="C15" i="34"/>
  <c r="B15" i="34"/>
  <c r="C14" i="34"/>
  <c r="B14" i="34"/>
  <c r="C13" i="34"/>
  <c r="B13" i="34"/>
  <c r="C12" i="34"/>
  <c r="B12" i="34"/>
  <c r="C11" i="34"/>
  <c r="B11" i="34"/>
  <c r="C10" i="34"/>
  <c r="B10" i="34"/>
  <c r="C9" i="34"/>
  <c r="B9" i="34"/>
  <c r="C8" i="34"/>
  <c r="B8" i="34"/>
  <c r="C7" i="34"/>
  <c r="B7" i="34"/>
  <c r="C6" i="34"/>
  <c r="B6" i="34"/>
  <c r="C5" i="34"/>
  <c r="B5" i="34"/>
  <c r="C4" i="34"/>
  <c r="B4" i="34"/>
  <c r="C3" i="34"/>
  <c r="B3" i="34"/>
  <c r="C2" i="34"/>
  <c r="B2" i="34"/>
  <c r="C1" i="34"/>
  <c r="B1" i="34"/>
  <c r="C22" i="33"/>
  <c r="C20" i="33"/>
  <c r="B20" i="33"/>
  <c r="C19" i="33"/>
  <c r="B19" i="33"/>
  <c r="C18" i="33"/>
  <c r="B18" i="33"/>
  <c r="C17" i="33"/>
  <c r="B17" i="33"/>
  <c r="C16" i="33"/>
  <c r="B16" i="33"/>
  <c r="C15" i="33"/>
  <c r="B15" i="33"/>
  <c r="C14" i="33"/>
  <c r="B14" i="33"/>
  <c r="C13" i="33"/>
  <c r="B13" i="33"/>
  <c r="C12" i="33"/>
  <c r="B12" i="33"/>
  <c r="C11" i="33"/>
  <c r="B11" i="33"/>
  <c r="C10" i="33"/>
  <c r="B10" i="33"/>
  <c r="C9" i="33"/>
  <c r="B9" i="33"/>
  <c r="C8" i="33"/>
  <c r="B8" i="33"/>
  <c r="C7" i="33"/>
  <c r="B7" i="33"/>
  <c r="C6" i="33"/>
  <c r="B6" i="33"/>
  <c r="C5" i="33"/>
  <c r="B5" i="33"/>
  <c r="C4" i="33"/>
  <c r="B4" i="33"/>
  <c r="C3" i="33"/>
  <c r="B3" i="33"/>
  <c r="C2" i="33"/>
  <c r="B2" i="33"/>
  <c r="C1" i="33"/>
  <c r="B1" i="33"/>
  <c r="C20" i="32"/>
  <c r="B20" i="32"/>
  <c r="C19" i="32"/>
  <c r="B19" i="32"/>
  <c r="C18" i="32"/>
  <c r="B18" i="32"/>
  <c r="C17" i="32"/>
  <c r="B17" i="32"/>
  <c r="C16" i="32"/>
  <c r="B16" i="32"/>
  <c r="C15" i="32"/>
  <c r="B15" i="32"/>
  <c r="C14" i="32"/>
  <c r="B14" i="32"/>
  <c r="C13" i="32"/>
  <c r="B13" i="32"/>
  <c r="C12" i="32"/>
  <c r="B12" i="32"/>
  <c r="C11" i="32"/>
  <c r="B11" i="32"/>
  <c r="C10" i="32"/>
  <c r="B10" i="32"/>
  <c r="C9" i="32"/>
  <c r="B9" i="32"/>
  <c r="C8" i="32"/>
  <c r="B8" i="32"/>
  <c r="C7" i="32"/>
  <c r="B7" i="32"/>
  <c r="C6" i="32"/>
  <c r="B6" i="32"/>
  <c r="C5" i="32"/>
  <c r="B5" i="32"/>
  <c r="C4" i="32"/>
  <c r="B4" i="32"/>
  <c r="C3" i="32"/>
  <c r="B3" i="32"/>
  <c r="C2" i="32"/>
  <c r="B2" i="32"/>
  <c r="C1" i="32"/>
  <c r="B1" i="32"/>
  <c r="C20" i="31"/>
  <c r="B20" i="31"/>
  <c r="C19" i="31"/>
  <c r="B19" i="31"/>
  <c r="C18" i="31"/>
  <c r="B18" i="31"/>
  <c r="C17" i="31"/>
  <c r="B17" i="31"/>
  <c r="C16" i="31"/>
  <c r="B16" i="31"/>
  <c r="C15" i="31"/>
  <c r="B15" i="31"/>
  <c r="C14" i="31"/>
  <c r="B14" i="31"/>
  <c r="C13" i="31"/>
  <c r="B13" i="31"/>
  <c r="C12" i="31"/>
  <c r="B12" i="31"/>
  <c r="C11" i="31"/>
  <c r="B11" i="31"/>
  <c r="C10" i="31"/>
  <c r="B10" i="31"/>
  <c r="C9" i="31"/>
  <c r="B9" i="31"/>
  <c r="C8" i="31"/>
  <c r="B8" i="31"/>
  <c r="C7" i="31"/>
  <c r="B7" i="31"/>
  <c r="C6" i="31"/>
  <c r="B6" i="31"/>
  <c r="C5" i="31"/>
  <c r="B5" i="31"/>
  <c r="C4" i="31"/>
  <c r="B4" i="31"/>
  <c r="C3" i="31"/>
  <c r="B3" i="31"/>
  <c r="C2" i="31"/>
  <c r="B2" i="31"/>
  <c r="C1" i="31"/>
  <c r="B1" i="31"/>
  <c r="C20" i="30"/>
  <c r="B20" i="30"/>
  <c r="C19" i="30"/>
  <c r="B19" i="30"/>
  <c r="C18" i="30"/>
  <c r="B18" i="30"/>
  <c r="C17" i="30"/>
  <c r="B17" i="30"/>
  <c r="C16" i="30"/>
  <c r="B16" i="30"/>
  <c r="C15" i="30"/>
  <c r="B15" i="30"/>
  <c r="C14" i="30"/>
  <c r="B14" i="30"/>
  <c r="C13" i="30"/>
  <c r="B13" i="30"/>
  <c r="C12" i="30"/>
  <c r="B12" i="30"/>
  <c r="C11" i="30"/>
  <c r="B11" i="30"/>
  <c r="C10" i="30"/>
  <c r="B10" i="30"/>
  <c r="C9" i="30"/>
  <c r="B9" i="30"/>
  <c r="C8" i="30"/>
  <c r="B8" i="30"/>
  <c r="C7" i="30"/>
  <c r="B7" i="30"/>
  <c r="C6" i="30"/>
  <c r="B6" i="30"/>
  <c r="C5" i="30"/>
  <c r="B5" i="30"/>
  <c r="C4" i="30"/>
  <c r="B4" i="30"/>
  <c r="C3" i="30"/>
  <c r="B3" i="30"/>
  <c r="C2" i="30"/>
  <c r="B2" i="30"/>
  <c r="C1" i="30"/>
  <c r="B1" i="30"/>
  <c r="C20" i="29"/>
  <c r="B20" i="29"/>
  <c r="C19" i="29"/>
  <c r="B19" i="29"/>
  <c r="C18" i="29"/>
  <c r="B18" i="29"/>
  <c r="C17" i="29"/>
  <c r="B17" i="29"/>
  <c r="C16" i="29"/>
  <c r="B16" i="29"/>
  <c r="C15" i="29"/>
  <c r="B15" i="29"/>
  <c r="C14" i="29"/>
  <c r="B14" i="29"/>
  <c r="C13" i="29"/>
  <c r="B13" i="29"/>
  <c r="C12" i="29"/>
  <c r="B12" i="29"/>
  <c r="C11" i="29"/>
  <c r="B11" i="29"/>
  <c r="C10" i="29"/>
  <c r="B10" i="29"/>
  <c r="C9" i="29"/>
  <c r="B9" i="29"/>
  <c r="C8" i="29"/>
  <c r="B8" i="29"/>
  <c r="C7" i="29"/>
  <c r="B7" i="29"/>
  <c r="C6" i="29"/>
  <c r="B6" i="29"/>
  <c r="C5" i="29"/>
  <c r="B5" i="29"/>
  <c r="C4" i="29"/>
  <c r="B4" i="29"/>
  <c r="C3" i="29"/>
  <c r="B3" i="29"/>
  <c r="C2" i="29"/>
  <c r="B2" i="29"/>
  <c r="C1" i="29"/>
  <c r="B1" i="29"/>
  <c r="C20" i="28"/>
  <c r="B20" i="28"/>
  <c r="C19" i="28"/>
  <c r="B19" i="28"/>
  <c r="C18" i="28"/>
  <c r="B18" i="28"/>
  <c r="C17" i="28"/>
  <c r="B17" i="28"/>
  <c r="C16" i="28"/>
  <c r="B16" i="28"/>
  <c r="C15" i="28"/>
  <c r="B15" i="28"/>
  <c r="C14" i="28"/>
  <c r="B14" i="28"/>
  <c r="C13" i="28"/>
  <c r="B13" i="28"/>
  <c r="C12" i="28"/>
  <c r="B12" i="28"/>
  <c r="C11" i="28"/>
  <c r="B11" i="28"/>
  <c r="C10" i="28"/>
  <c r="B10" i="28"/>
  <c r="C9" i="28"/>
  <c r="B9" i="28"/>
  <c r="C8" i="28"/>
  <c r="B8" i="28"/>
  <c r="C7" i="28"/>
  <c r="B7" i="28"/>
  <c r="C6" i="28"/>
  <c r="B6" i="28"/>
  <c r="C5" i="28"/>
  <c r="B5" i="28"/>
  <c r="C4" i="28"/>
  <c r="B4" i="28"/>
  <c r="C3" i="28"/>
  <c r="B3" i="28"/>
  <c r="C2" i="28"/>
  <c r="B2" i="28"/>
  <c r="C1" i="28"/>
  <c r="B1" i="28"/>
  <c r="C20" i="27"/>
  <c r="B20" i="27"/>
  <c r="C19" i="27"/>
  <c r="B19" i="27"/>
  <c r="C18" i="27"/>
  <c r="B18" i="27"/>
  <c r="C17" i="27"/>
  <c r="B17" i="27"/>
  <c r="C16" i="27"/>
  <c r="B16" i="27"/>
  <c r="C15" i="27"/>
  <c r="B15" i="27"/>
  <c r="C14" i="27"/>
  <c r="B14" i="27"/>
  <c r="C13" i="27"/>
  <c r="B13" i="27"/>
  <c r="C12" i="27"/>
  <c r="B12" i="27"/>
  <c r="C11" i="27"/>
  <c r="B11" i="27"/>
  <c r="C10" i="27"/>
  <c r="B10" i="27"/>
  <c r="C9" i="27"/>
  <c r="B9" i="27"/>
  <c r="C8" i="27"/>
  <c r="B8" i="27"/>
  <c r="C7" i="27"/>
  <c r="B7" i="27"/>
  <c r="C6" i="27"/>
  <c r="B6" i="27"/>
  <c r="C5" i="27"/>
  <c r="B5" i="27"/>
  <c r="C4" i="27"/>
  <c r="B4" i="27"/>
  <c r="C3" i="27"/>
  <c r="B3" i="27"/>
  <c r="C2" i="27"/>
  <c r="B2" i="27"/>
  <c r="C1" i="27"/>
  <c r="B1" i="27"/>
  <c r="C20" i="26"/>
  <c r="B20" i="26"/>
  <c r="C19" i="26"/>
  <c r="B19" i="26"/>
  <c r="C18" i="26"/>
  <c r="B18" i="26"/>
  <c r="C17" i="26"/>
  <c r="B17" i="26"/>
  <c r="C16" i="26"/>
  <c r="B16" i="26"/>
  <c r="C15" i="26"/>
  <c r="B15" i="26"/>
  <c r="C14" i="26"/>
  <c r="B14" i="26"/>
  <c r="C13" i="26"/>
  <c r="B13" i="26"/>
  <c r="C12" i="26"/>
  <c r="B12" i="26"/>
  <c r="C11" i="26"/>
  <c r="B11" i="26"/>
  <c r="C10" i="26"/>
  <c r="B10" i="26"/>
  <c r="C9" i="26"/>
  <c r="B9" i="26"/>
  <c r="C8" i="26"/>
  <c r="B8" i="26"/>
  <c r="C7" i="26"/>
  <c r="C6" i="26"/>
  <c r="B6" i="26"/>
  <c r="C5" i="26"/>
  <c r="B5" i="26"/>
  <c r="C4" i="26"/>
  <c r="B4" i="26"/>
  <c r="C3" i="26"/>
  <c r="B3" i="26"/>
  <c r="C2" i="26"/>
  <c r="B2" i="26"/>
  <c r="C1" i="26"/>
  <c r="B1" i="26"/>
  <c r="C20" i="25"/>
  <c r="B20" i="25"/>
  <c r="C19" i="25"/>
  <c r="B19" i="25"/>
  <c r="C18" i="25"/>
  <c r="B18" i="25"/>
  <c r="C17" i="25"/>
  <c r="B17" i="25"/>
  <c r="C16" i="25"/>
  <c r="B16" i="25"/>
  <c r="C15" i="25"/>
  <c r="B15" i="25"/>
  <c r="C14" i="25"/>
  <c r="B14" i="25"/>
  <c r="C13" i="25"/>
  <c r="B13" i="25"/>
  <c r="C12" i="25"/>
  <c r="B12" i="25"/>
  <c r="C11" i="25"/>
  <c r="B11" i="25"/>
  <c r="C10" i="25"/>
  <c r="B10" i="25"/>
  <c r="C9" i="25"/>
  <c r="B9" i="25"/>
  <c r="C8" i="25"/>
  <c r="B8" i="25"/>
  <c r="C7" i="25"/>
  <c r="B7" i="25"/>
  <c r="C6" i="25"/>
  <c r="B6" i="25"/>
  <c r="C5" i="25"/>
  <c r="B5" i="25"/>
  <c r="C4" i="25"/>
  <c r="B4" i="25"/>
  <c r="C3" i="25"/>
  <c r="B3" i="25"/>
  <c r="C2" i="25"/>
  <c r="B2" i="25"/>
  <c r="C1" i="25"/>
  <c r="B1" i="25"/>
  <c r="C20" i="24"/>
  <c r="B20" i="24"/>
  <c r="C19" i="24"/>
  <c r="B19" i="24"/>
  <c r="C18" i="24"/>
  <c r="B18" i="24"/>
  <c r="C17" i="24"/>
  <c r="B17" i="24"/>
  <c r="C16" i="24"/>
  <c r="B16" i="24"/>
  <c r="C15" i="24"/>
  <c r="B15" i="24"/>
  <c r="C14" i="24"/>
  <c r="B14" i="24"/>
  <c r="C13" i="24"/>
  <c r="B13" i="24"/>
  <c r="C12" i="24"/>
  <c r="B12" i="24"/>
  <c r="B11" i="24"/>
  <c r="C10" i="24"/>
  <c r="B10" i="24"/>
  <c r="C9" i="24"/>
  <c r="B9" i="24"/>
  <c r="C8" i="24"/>
  <c r="B8" i="24"/>
  <c r="C7" i="24"/>
  <c r="B7" i="24"/>
  <c r="C6" i="24"/>
  <c r="B6" i="24"/>
  <c r="C5" i="24"/>
  <c r="B5" i="24"/>
  <c r="C4" i="24"/>
  <c r="B4" i="24"/>
  <c r="C3" i="24"/>
  <c r="B3" i="24"/>
  <c r="C2" i="24"/>
  <c r="B2" i="24"/>
  <c r="C1" i="24"/>
  <c r="B1" i="24"/>
  <c r="C20" i="23"/>
  <c r="B20" i="23"/>
  <c r="C19" i="23"/>
  <c r="B19" i="23"/>
  <c r="C18" i="23"/>
  <c r="B18" i="23"/>
  <c r="C17" i="23"/>
  <c r="B17" i="23"/>
  <c r="C16" i="23"/>
  <c r="B16" i="23"/>
  <c r="C15" i="23"/>
  <c r="B15" i="23"/>
  <c r="C14" i="23"/>
  <c r="B14" i="23"/>
  <c r="C13" i="23"/>
  <c r="B13" i="23"/>
  <c r="C12" i="23"/>
  <c r="B12" i="23"/>
  <c r="B11" i="23"/>
  <c r="C10" i="23"/>
  <c r="B10" i="23"/>
  <c r="C9" i="23"/>
  <c r="B9" i="23"/>
  <c r="C8" i="23"/>
  <c r="B8" i="23"/>
  <c r="C7" i="23"/>
  <c r="B7" i="23"/>
  <c r="C6" i="23"/>
  <c r="B6" i="23"/>
  <c r="C5" i="23"/>
  <c r="B5" i="23"/>
  <c r="C4" i="23"/>
  <c r="B4" i="23"/>
  <c r="C3" i="23"/>
  <c r="B3" i="23"/>
  <c r="C2" i="23"/>
  <c r="B2" i="23"/>
  <c r="C1" i="23"/>
  <c r="B1" i="23"/>
  <c r="C20" i="22"/>
  <c r="B20" i="22"/>
  <c r="C19" i="22"/>
  <c r="B19" i="22"/>
  <c r="C18" i="22"/>
  <c r="B18" i="22"/>
  <c r="C17" i="22"/>
  <c r="B17" i="22"/>
  <c r="C16" i="22"/>
  <c r="B16" i="22"/>
  <c r="C15" i="22"/>
  <c r="B15" i="22"/>
  <c r="C14" i="22"/>
  <c r="B14" i="22"/>
  <c r="C13" i="22"/>
  <c r="B13" i="22"/>
  <c r="C12" i="22"/>
  <c r="B12" i="22"/>
  <c r="C11" i="22"/>
  <c r="B11" i="22"/>
  <c r="C10" i="22"/>
  <c r="B10" i="22"/>
  <c r="C9" i="22"/>
  <c r="B9" i="22"/>
  <c r="C8" i="22"/>
  <c r="B8" i="22"/>
  <c r="C7" i="22"/>
  <c r="B7" i="22"/>
  <c r="C6" i="22"/>
  <c r="B6" i="22"/>
  <c r="C5" i="22"/>
  <c r="B5" i="22"/>
  <c r="C4" i="22"/>
  <c r="B4" i="22"/>
  <c r="C3" i="22"/>
  <c r="B3" i="22"/>
  <c r="C2" i="22"/>
  <c r="B2" i="22"/>
  <c r="C1" i="22"/>
  <c r="B1" i="22"/>
  <c r="C20" i="21"/>
  <c r="B20" i="21"/>
  <c r="C19" i="21"/>
  <c r="B19" i="21"/>
  <c r="C18" i="21"/>
  <c r="B18" i="21"/>
  <c r="C17" i="21"/>
  <c r="B17" i="21"/>
  <c r="C16" i="21"/>
  <c r="B16" i="21"/>
  <c r="C15" i="21"/>
  <c r="B15" i="21"/>
  <c r="C14" i="21"/>
  <c r="B14" i="21"/>
  <c r="C13" i="21"/>
  <c r="B13" i="21"/>
  <c r="C12" i="21"/>
  <c r="B12" i="21"/>
  <c r="C11" i="21"/>
  <c r="B11" i="21"/>
  <c r="C10" i="21"/>
  <c r="B10" i="21"/>
  <c r="C9" i="21"/>
  <c r="B9" i="21"/>
  <c r="C8" i="21"/>
  <c r="B8" i="21"/>
  <c r="C7" i="21"/>
  <c r="B7" i="21"/>
  <c r="C6" i="21"/>
  <c r="B6" i="21"/>
  <c r="C5" i="21"/>
  <c r="B5" i="21"/>
  <c r="C4" i="21"/>
  <c r="B4" i="21"/>
  <c r="C3" i="21"/>
  <c r="B3" i="21"/>
  <c r="C2" i="21"/>
  <c r="B2" i="21"/>
  <c r="C1" i="21"/>
  <c r="B1" i="21"/>
  <c r="C20" i="20"/>
  <c r="B20" i="20"/>
  <c r="C19" i="20"/>
  <c r="B19" i="20"/>
  <c r="C18" i="20"/>
  <c r="B18" i="20"/>
  <c r="C17" i="20"/>
  <c r="B17" i="20"/>
  <c r="C16" i="20"/>
  <c r="B16" i="20"/>
  <c r="C15" i="20"/>
  <c r="B15" i="20"/>
  <c r="C14" i="20"/>
  <c r="B14" i="20"/>
  <c r="C13" i="20"/>
  <c r="B13" i="20"/>
  <c r="C12" i="20"/>
  <c r="B12" i="20"/>
  <c r="C11" i="20"/>
  <c r="B11" i="20"/>
  <c r="C10" i="20"/>
  <c r="B10" i="20"/>
  <c r="C9" i="20"/>
  <c r="B9" i="20"/>
  <c r="C8" i="20"/>
  <c r="B8" i="20"/>
  <c r="C7" i="20"/>
  <c r="B7" i="20"/>
  <c r="C6" i="20"/>
  <c r="B6" i="20"/>
  <c r="B5" i="20"/>
  <c r="C4" i="20"/>
  <c r="B4" i="20"/>
  <c r="C3" i="20"/>
  <c r="B3" i="20"/>
  <c r="C2" i="20"/>
  <c r="B2" i="20"/>
  <c r="C1" i="20"/>
  <c r="B1" i="20"/>
  <c r="C20" i="19"/>
  <c r="B20" i="19"/>
  <c r="C19" i="19"/>
  <c r="B19" i="19"/>
  <c r="C18" i="19"/>
  <c r="B18" i="19"/>
  <c r="C17" i="19"/>
  <c r="B17" i="19"/>
  <c r="C16" i="19"/>
  <c r="B16" i="19"/>
  <c r="C15" i="19"/>
  <c r="B15" i="19"/>
  <c r="C14" i="19"/>
  <c r="B14" i="19"/>
  <c r="C13" i="19"/>
  <c r="B13" i="19"/>
  <c r="C12" i="19"/>
  <c r="B12" i="19"/>
  <c r="C11" i="19"/>
  <c r="B11" i="19"/>
  <c r="C10" i="19"/>
  <c r="B10" i="19"/>
  <c r="C9" i="19"/>
  <c r="B9" i="19"/>
  <c r="C8" i="19"/>
  <c r="B8" i="19"/>
  <c r="C7" i="19"/>
  <c r="B7" i="19"/>
  <c r="C6" i="19"/>
  <c r="B6" i="19"/>
  <c r="C5" i="19"/>
  <c r="B5" i="19"/>
  <c r="C4" i="19"/>
  <c r="B4" i="19"/>
  <c r="C3" i="19"/>
  <c r="B3" i="19"/>
  <c r="C2" i="19"/>
  <c r="B2" i="19"/>
  <c r="C1" i="19"/>
  <c r="B1" i="19"/>
  <c r="C20" i="18"/>
  <c r="B20" i="18"/>
  <c r="C19" i="18"/>
  <c r="B19" i="18"/>
  <c r="C18" i="18"/>
  <c r="B18" i="18"/>
  <c r="C17" i="18"/>
  <c r="B17" i="18"/>
  <c r="C16" i="18"/>
  <c r="B16" i="18"/>
  <c r="C15" i="18"/>
  <c r="B15" i="18"/>
  <c r="C14" i="18"/>
  <c r="B14" i="18"/>
  <c r="C13" i="18"/>
  <c r="B13" i="18"/>
  <c r="C12" i="18"/>
  <c r="B12" i="18"/>
  <c r="B11" i="18"/>
  <c r="C10" i="18"/>
  <c r="B10" i="18"/>
  <c r="C9" i="18"/>
  <c r="B9" i="18"/>
  <c r="C8" i="18"/>
  <c r="B8" i="18"/>
  <c r="C7" i="18"/>
  <c r="B7" i="18"/>
  <c r="C6" i="18"/>
  <c r="B6" i="18"/>
  <c r="B5" i="18"/>
  <c r="C4" i="18"/>
  <c r="B4" i="18"/>
  <c r="C3" i="18"/>
  <c r="B3" i="18"/>
  <c r="C2" i="18"/>
  <c r="B2" i="18"/>
  <c r="C1" i="18"/>
  <c r="B1" i="18"/>
  <c r="C20" i="17"/>
  <c r="B20" i="17"/>
  <c r="C19" i="17"/>
  <c r="B19" i="17"/>
  <c r="C18" i="17"/>
  <c r="B18" i="17"/>
  <c r="C17" i="17"/>
  <c r="B17" i="17"/>
  <c r="C16" i="17"/>
  <c r="B16" i="17"/>
  <c r="C15" i="17"/>
  <c r="B15" i="17"/>
  <c r="C14" i="17"/>
  <c r="B14" i="17"/>
  <c r="C13" i="17"/>
  <c r="B13" i="17"/>
  <c r="C12" i="17"/>
  <c r="B12" i="17"/>
  <c r="C11" i="17"/>
  <c r="B11" i="17"/>
  <c r="C10" i="17"/>
  <c r="B10" i="17"/>
  <c r="C9" i="17"/>
  <c r="B9" i="17"/>
  <c r="C8" i="17"/>
  <c r="B8" i="17"/>
  <c r="C7" i="17"/>
  <c r="B7" i="17"/>
  <c r="C6" i="17"/>
  <c r="B6" i="17"/>
  <c r="C5" i="17"/>
  <c r="B5" i="17"/>
  <c r="C4" i="17"/>
  <c r="B4" i="17"/>
  <c r="C3" i="17"/>
  <c r="B3" i="17"/>
  <c r="C2" i="17"/>
  <c r="B2" i="17"/>
  <c r="C1" i="17"/>
  <c r="B1" i="17"/>
  <c r="C20" i="16"/>
  <c r="B20" i="16"/>
  <c r="C19" i="16"/>
  <c r="B19" i="16"/>
  <c r="C18" i="16"/>
  <c r="B18" i="16"/>
  <c r="C17" i="16"/>
  <c r="B17" i="16"/>
  <c r="C16" i="16"/>
  <c r="B16" i="16"/>
  <c r="C15" i="16"/>
  <c r="B15" i="16"/>
  <c r="C14" i="16"/>
  <c r="B14" i="16"/>
  <c r="C13" i="16"/>
  <c r="B13" i="16"/>
  <c r="C12" i="16"/>
  <c r="B12" i="16"/>
  <c r="C11" i="16"/>
  <c r="B11" i="16"/>
  <c r="C10" i="16"/>
  <c r="B10" i="16"/>
  <c r="C9" i="16"/>
  <c r="B9" i="16"/>
  <c r="C8" i="16"/>
  <c r="B8" i="16"/>
  <c r="C7" i="16"/>
  <c r="B7" i="16"/>
  <c r="C6" i="16"/>
  <c r="B6" i="16"/>
  <c r="C5" i="16"/>
  <c r="B5" i="16"/>
  <c r="C4" i="16"/>
  <c r="B4" i="16"/>
  <c r="C3" i="16"/>
  <c r="B3" i="16"/>
  <c r="C2" i="16"/>
  <c r="B2" i="16"/>
  <c r="C1" i="16"/>
  <c r="B1" i="16"/>
  <c r="C20" i="15"/>
  <c r="B20" i="15"/>
  <c r="C19" i="15"/>
  <c r="B19" i="15"/>
  <c r="C18" i="15"/>
  <c r="B18" i="15"/>
  <c r="C17" i="15"/>
  <c r="B17" i="15"/>
  <c r="C16" i="15"/>
  <c r="B16" i="15"/>
  <c r="C15" i="15"/>
  <c r="B15" i="15"/>
  <c r="C14" i="15"/>
  <c r="B14" i="15"/>
  <c r="C13" i="15"/>
  <c r="B13" i="15"/>
  <c r="C12" i="15"/>
  <c r="B12" i="15"/>
  <c r="C11" i="15"/>
  <c r="B11" i="15"/>
  <c r="C10" i="15"/>
  <c r="B10" i="15"/>
  <c r="C9" i="15"/>
  <c r="B9" i="15"/>
  <c r="C8" i="15"/>
  <c r="B8" i="15"/>
  <c r="C7" i="15"/>
  <c r="B7" i="15"/>
  <c r="C6" i="15"/>
  <c r="B6" i="15"/>
  <c r="B5" i="15"/>
  <c r="C4" i="15"/>
  <c r="B4" i="15"/>
  <c r="C3" i="15"/>
  <c r="B3" i="15"/>
  <c r="C2" i="15"/>
  <c r="B2" i="15"/>
  <c r="C1" i="15"/>
  <c r="B1" i="15"/>
  <c r="C20" i="14"/>
  <c r="B20" i="14"/>
  <c r="C19" i="14"/>
  <c r="B19" i="14"/>
  <c r="C18" i="14"/>
  <c r="B18" i="14"/>
  <c r="C17" i="14"/>
  <c r="B17" i="14"/>
  <c r="C16" i="14"/>
  <c r="B16" i="14"/>
  <c r="C15" i="14"/>
  <c r="B15" i="14"/>
  <c r="C14" i="14"/>
  <c r="B14" i="14"/>
  <c r="C13" i="14"/>
  <c r="B13" i="14"/>
  <c r="C12" i="14"/>
  <c r="B12" i="14"/>
  <c r="C11" i="14"/>
  <c r="B11" i="14"/>
  <c r="C10" i="14"/>
  <c r="B10" i="14"/>
  <c r="C9" i="14"/>
  <c r="B9" i="14"/>
  <c r="C8" i="14"/>
  <c r="B8" i="14"/>
  <c r="C7" i="14"/>
  <c r="B7" i="14"/>
  <c r="C6" i="14"/>
  <c r="B6" i="14"/>
  <c r="B5" i="14"/>
  <c r="C4" i="14"/>
  <c r="B4" i="14"/>
  <c r="C3" i="14"/>
  <c r="B3" i="14"/>
  <c r="C2" i="14"/>
  <c r="B2" i="14"/>
  <c r="C1" i="14"/>
  <c r="B1" i="14"/>
  <c r="C20" i="13"/>
  <c r="B20" i="13"/>
  <c r="C19" i="13"/>
  <c r="B19" i="13"/>
  <c r="C18" i="13"/>
  <c r="B18" i="13"/>
  <c r="C17" i="13"/>
  <c r="B17" i="13"/>
  <c r="C16" i="13"/>
  <c r="B16" i="13"/>
  <c r="C15" i="13"/>
  <c r="B15" i="13"/>
  <c r="C14" i="13"/>
  <c r="B14" i="13"/>
  <c r="C13" i="13"/>
  <c r="B13" i="13"/>
  <c r="C12" i="13"/>
  <c r="B12" i="13"/>
  <c r="C11" i="13"/>
  <c r="B11" i="13"/>
  <c r="C10" i="13"/>
  <c r="B10" i="13"/>
  <c r="C9" i="13"/>
  <c r="B9" i="13"/>
  <c r="C8" i="13"/>
  <c r="B8" i="13"/>
  <c r="C7" i="13"/>
  <c r="B7" i="13"/>
  <c r="C6" i="13"/>
  <c r="B6" i="13"/>
  <c r="C5" i="13"/>
  <c r="B5" i="13"/>
  <c r="C4" i="13"/>
  <c r="B4" i="13"/>
  <c r="C3" i="13"/>
  <c r="B3" i="13"/>
  <c r="C2" i="13"/>
  <c r="B2" i="13"/>
  <c r="C1" i="13"/>
  <c r="B1" i="13"/>
  <c r="C20" i="12"/>
  <c r="B20" i="12"/>
  <c r="C19" i="12"/>
  <c r="B19" i="12"/>
  <c r="C18" i="12"/>
  <c r="B18" i="12"/>
  <c r="C17" i="12"/>
  <c r="B17" i="12"/>
  <c r="C16" i="12"/>
  <c r="B16" i="12"/>
  <c r="C15" i="12"/>
  <c r="B15" i="12"/>
  <c r="C14" i="12"/>
  <c r="B14" i="12"/>
  <c r="C13" i="12"/>
  <c r="B13" i="12"/>
  <c r="C12" i="12"/>
  <c r="B12" i="12"/>
  <c r="C11" i="12"/>
  <c r="B11" i="12"/>
  <c r="C10" i="12"/>
  <c r="B10" i="12"/>
  <c r="C9" i="12"/>
  <c r="B9" i="12"/>
  <c r="C8" i="12"/>
  <c r="B8" i="12"/>
  <c r="C7" i="12"/>
  <c r="B7" i="12"/>
  <c r="C6" i="12"/>
  <c r="B6" i="12"/>
  <c r="C5" i="12"/>
  <c r="B5" i="12"/>
  <c r="C4" i="12"/>
  <c r="B4" i="12"/>
  <c r="C3" i="12"/>
  <c r="B3" i="12"/>
  <c r="C2" i="12"/>
  <c r="B2" i="12"/>
  <c r="C1" i="12"/>
  <c r="B1" i="12"/>
  <c r="C20" i="11"/>
  <c r="B20" i="11"/>
  <c r="C19" i="11"/>
  <c r="B19" i="11"/>
  <c r="C18" i="11"/>
  <c r="B18" i="11"/>
  <c r="C17" i="11"/>
  <c r="B17" i="11"/>
  <c r="C16" i="11"/>
  <c r="B16" i="11"/>
  <c r="C15" i="11"/>
  <c r="B15" i="11"/>
  <c r="C14" i="11"/>
  <c r="B14" i="11"/>
  <c r="C13" i="11"/>
  <c r="B13" i="11"/>
  <c r="C12" i="11"/>
  <c r="B12" i="11"/>
  <c r="C11" i="11"/>
  <c r="C10" i="11"/>
  <c r="B10" i="11"/>
  <c r="C9" i="11"/>
  <c r="B9" i="11"/>
  <c r="C8" i="11"/>
  <c r="B8" i="11"/>
  <c r="C7" i="11"/>
  <c r="C6" i="11"/>
  <c r="B6" i="11"/>
  <c r="C5" i="11"/>
  <c r="B5" i="11"/>
  <c r="C4" i="11"/>
  <c r="B4" i="11"/>
  <c r="C3" i="11"/>
  <c r="B3" i="11"/>
  <c r="C2" i="11"/>
  <c r="B2" i="11"/>
  <c r="C1" i="11"/>
  <c r="B1" i="11"/>
  <c r="C20" i="10"/>
  <c r="B20" i="10"/>
  <c r="C19" i="10"/>
  <c r="B19" i="10"/>
  <c r="C18" i="10"/>
  <c r="B18" i="10"/>
  <c r="C17" i="10"/>
  <c r="B17" i="10"/>
  <c r="C16" i="10"/>
  <c r="B16" i="10"/>
  <c r="C15" i="10"/>
  <c r="B15" i="10"/>
  <c r="C14" i="10"/>
  <c r="B14" i="10"/>
  <c r="C13" i="10"/>
  <c r="B13" i="10"/>
  <c r="C12" i="10"/>
  <c r="B12" i="10"/>
  <c r="C11" i="10"/>
  <c r="B11" i="10"/>
  <c r="C10" i="10"/>
  <c r="B10" i="10"/>
  <c r="C9" i="10"/>
  <c r="B9" i="10"/>
  <c r="C8" i="10"/>
  <c r="B8" i="10"/>
  <c r="C7" i="10"/>
  <c r="B7" i="10"/>
  <c r="C6" i="10"/>
  <c r="B6" i="10"/>
  <c r="C5" i="10"/>
  <c r="B5" i="10"/>
  <c r="C4" i="10"/>
  <c r="B4" i="10"/>
  <c r="C3" i="10"/>
  <c r="B3" i="10"/>
  <c r="C2" i="10"/>
  <c r="B2" i="10"/>
  <c r="C1" i="10"/>
  <c r="B1" i="10"/>
  <c r="C20" i="9"/>
  <c r="B20" i="9"/>
  <c r="C19" i="9"/>
  <c r="B19" i="9"/>
  <c r="C18" i="9"/>
  <c r="B18" i="9"/>
  <c r="C17" i="9"/>
  <c r="B17" i="9"/>
  <c r="C16" i="9"/>
  <c r="B16" i="9"/>
  <c r="C15" i="9"/>
  <c r="B15" i="9"/>
  <c r="C14" i="9"/>
  <c r="B14" i="9"/>
  <c r="C13" i="9"/>
  <c r="B13" i="9"/>
  <c r="C12" i="9"/>
  <c r="B12" i="9"/>
  <c r="C11" i="9"/>
  <c r="B11" i="9"/>
  <c r="C10" i="9"/>
  <c r="B10" i="9"/>
  <c r="C9" i="9"/>
  <c r="B9" i="9"/>
  <c r="C8" i="9"/>
  <c r="B8" i="9"/>
  <c r="C7" i="9"/>
  <c r="B7" i="9"/>
  <c r="C6" i="9"/>
  <c r="B6" i="9"/>
  <c r="C5" i="9"/>
  <c r="B5" i="9"/>
  <c r="C4" i="9"/>
  <c r="B4" i="9"/>
  <c r="C3" i="9"/>
  <c r="B3" i="9"/>
  <c r="C2" i="9"/>
  <c r="B2" i="9"/>
  <c r="C1" i="9"/>
  <c r="B1" i="9"/>
  <c r="C20" i="8"/>
  <c r="B20" i="8"/>
  <c r="C19" i="8"/>
  <c r="B19" i="8"/>
  <c r="C18" i="8"/>
  <c r="B18" i="8"/>
  <c r="C17" i="8"/>
  <c r="B17" i="8"/>
  <c r="C16" i="8"/>
  <c r="B16" i="8"/>
  <c r="C15" i="8"/>
  <c r="B15" i="8"/>
  <c r="C14" i="8"/>
  <c r="B14" i="8"/>
  <c r="C13" i="8"/>
  <c r="B13" i="8"/>
  <c r="C12" i="8"/>
  <c r="B12" i="8"/>
  <c r="C11" i="8"/>
  <c r="B11" i="8"/>
  <c r="C10" i="8"/>
  <c r="B10" i="8"/>
  <c r="C9" i="8"/>
  <c r="B9" i="8"/>
  <c r="C8" i="8"/>
  <c r="B8" i="8"/>
  <c r="C7" i="8"/>
  <c r="B7" i="8"/>
  <c r="C6" i="8"/>
  <c r="B6" i="8"/>
  <c r="C5" i="8"/>
  <c r="B5" i="8"/>
  <c r="C4" i="8"/>
  <c r="B4" i="8"/>
  <c r="C3" i="8"/>
  <c r="B3" i="8"/>
  <c r="C2" i="8"/>
  <c r="B2" i="8"/>
  <c r="C1" i="8"/>
  <c r="B1" i="8"/>
  <c r="C20" i="7"/>
  <c r="B20" i="7"/>
  <c r="C19" i="7"/>
  <c r="B19" i="7"/>
  <c r="C18" i="7"/>
  <c r="B18" i="7"/>
  <c r="C17" i="7"/>
  <c r="B17" i="7"/>
  <c r="C16" i="7"/>
  <c r="B16" i="7"/>
  <c r="C15" i="7"/>
  <c r="B15" i="7"/>
  <c r="C14" i="7"/>
  <c r="B14" i="7"/>
  <c r="C13" i="7"/>
  <c r="B13" i="7"/>
  <c r="C12" i="7"/>
  <c r="B12" i="7"/>
  <c r="C11" i="7"/>
  <c r="B11" i="7"/>
  <c r="C10" i="7"/>
  <c r="B10" i="7"/>
  <c r="C9" i="7"/>
  <c r="B9" i="7"/>
  <c r="C8" i="7"/>
  <c r="B8" i="7"/>
  <c r="C7" i="7"/>
  <c r="B7" i="7"/>
  <c r="C6" i="7"/>
  <c r="B6" i="7"/>
  <c r="C5" i="7"/>
  <c r="B5" i="7"/>
  <c r="C4" i="7"/>
  <c r="B4" i="7"/>
  <c r="C3" i="7"/>
  <c r="B3" i="7"/>
  <c r="C2" i="7"/>
  <c r="B2" i="7"/>
  <c r="C1" i="7"/>
  <c r="B1" i="7"/>
  <c r="C20" i="6"/>
  <c r="B20" i="6"/>
  <c r="C19" i="6"/>
  <c r="B19" i="6"/>
  <c r="C18" i="6"/>
  <c r="B18" i="6"/>
  <c r="C17" i="6"/>
  <c r="B17" i="6"/>
  <c r="C16" i="6"/>
  <c r="B16" i="6"/>
  <c r="C15" i="6"/>
  <c r="B15" i="6"/>
  <c r="C14" i="6"/>
  <c r="B14" i="6"/>
  <c r="C13" i="6"/>
  <c r="B13" i="6"/>
  <c r="C12" i="6"/>
  <c r="B12" i="6"/>
  <c r="C11" i="6"/>
  <c r="B11" i="6"/>
  <c r="C10" i="6"/>
  <c r="B10" i="6"/>
  <c r="C9" i="6"/>
  <c r="B9" i="6"/>
  <c r="C8" i="6"/>
  <c r="B8" i="6"/>
  <c r="C7" i="6"/>
  <c r="B7" i="6"/>
  <c r="C6" i="6"/>
  <c r="B6" i="6"/>
  <c r="C5" i="6"/>
  <c r="B5" i="6"/>
  <c r="C4" i="6"/>
  <c r="B4" i="6"/>
  <c r="C3" i="6"/>
  <c r="B3" i="6"/>
  <c r="C2" i="6"/>
  <c r="B2" i="6"/>
  <c r="C1" i="6"/>
  <c r="B1" i="6"/>
  <c r="C20" i="5"/>
  <c r="B20" i="5"/>
  <c r="C19" i="5"/>
  <c r="B19" i="5"/>
  <c r="C18" i="5"/>
  <c r="B18" i="5"/>
  <c r="C17" i="5"/>
  <c r="B17" i="5"/>
  <c r="C16" i="5"/>
  <c r="B16" i="5"/>
  <c r="C15" i="5"/>
  <c r="B15" i="5"/>
  <c r="C14" i="5"/>
  <c r="B14" i="5"/>
  <c r="C13" i="5"/>
  <c r="B13" i="5"/>
  <c r="C12" i="5"/>
  <c r="B12" i="5"/>
  <c r="C11" i="5"/>
  <c r="B11" i="5"/>
  <c r="C10" i="5"/>
  <c r="B10" i="5"/>
  <c r="C9" i="5"/>
  <c r="B9" i="5"/>
  <c r="C8" i="5"/>
  <c r="B8" i="5"/>
  <c r="C7" i="5"/>
  <c r="B7" i="5"/>
  <c r="C6" i="5"/>
  <c r="B6" i="5"/>
  <c r="C5" i="5"/>
  <c r="B5" i="5"/>
  <c r="C4" i="5"/>
  <c r="B4" i="5"/>
  <c r="C3" i="5"/>
  <c r="B3" i="5"/>
  <c r="C2" i="5"/>
  <c r="B2" i="5"/>
  <c r="C1" i="5"/>
  <c r="B1" i="5"/>
  <c r="B19" i="4"/>
  <c r="B18" i="4"/>
  <c r="B17" i="4"/>
  <c r="B13" i="4"/>
  <c r="B11" i="4"/>
  <c r="B10" i="4"/>
  <c r="B9" i="4"/>
  <c r="C8" i="4"/>
  <c r="B8" i="4"/>
  <c r="B7" i="4"/>
  <c r="C6" i="4"/>
  <c r="B6" i="4"/>
  <c r="B5" i="4"/>
  <c r="C4" i="4"/>
  <c r="B4" i="4"/>
  <c r="C3" i="4"/>
  <c r="B3" i="4"/>
  <c r="C2" i="4"/>
  <c r="B2" i="4"/>
  <c r="C1" i="4"/>
  <c r="B1" i="4"/>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C1" i="3"/>
  <c r="B1" i="3"/>
  <c r="C20" i="2"/>
  <c r="B20" i="2"/>
  <c r="C19" i="2"/>
  <c r="B19" i="2"/>
  <c r="C18" i="2"/>
  <c r="B18" i="2"/>
  <c r="C17" i="2"/>
  <c r="B17" i="2"/>
  <c r="C16" i="2"/>
  <c r="B16" i="2"/>
  <c r="C15" i="2"/>
  <c r="B15" i="2"/>
  <c r="C14" i="2"/>
  <c r="B14" i="2"/>
  <c r="C13" i="2"/>
  <c r="B13" i="2"/>
  <c r="C12" i="2"/>
  <c r="B12" i="2"/>
  <c r="C11" i="2"/>
  <c r="B11" i="2"/>
  <c r="C10" i="2"/>
  <c r="B10" i="2"/>
  <c r="C9" i="2"/>
  <c r="B9" i="2"/>
  <c r="C8" i="2"/>
  <c r="B8" i="2"/>
  <c r="C7" i="2"/>
  <c r="B7" i="2"/>
  <c r="C6" i="2"/>
  <c r="B6" i="2"/>
  <c r="C5" i="2"/>
  <c r="B5" i="2"/>
  <c r="C4" i="2"/>
  <c r="B4" i="2"/>
  <c r="C3" i="2"/>
  <c r="B3" i="2"/>
  <c r="C2" i="2"/>
  <c r="B2" i="2"/>
  <c r="C1" i="2"/>
  <c r="B1" i="2"/>
</calcChain>
</file>

<file path=xl/sharedStrings.xml><?xml version="1.0" encoding="utf-8"?>
<sst xmlns="http://schemas.openxmlformats.org/spreadsheetml/2006/main" count="1467" uniqueCount="21">
  <si>
    <t>Who dat 3?</t>
  </si>
  <si>
    <t>Gene location
  Start and Stop 
 FOR or REV</t>
  </si>
  <si>
    <t>Gene number
  In DNA Master
 On Phamerator map</t>
  </si>
  <si>
    <t>Pham number and date</t>
  </si>
  <si>
    <t>Homologous gene(s) in related phage(s) (phage name and gene number)</t>
  </si>
  <si>
    <t>Glimmer and GeneMark Support
  Did both programs call this gene?
 indicate whether the Glimmer or GeneMark call, or both, or neither, was chosen</t>
  </si>
  <si>
    <t>GeneMark coding potential
  does this gene have coding potential?
 is all coding potential included with this start? If not, why not?</t>
  </si>
  <si>
    <t>Is this the longest possible ORF? 
  If No, why not?</t>
  </si>
  <si>
    <t>Gap or overlap with previous gene 
  number of nucleotides, gap or overlap
 if large overlap is chosen, provide rationale</t>
  </si>
  <si>
    <t>Ribosome binding site (SD) score 
  record the Z score and final score for the chosen start site – best score?
 list scores for any other starts being considered</t>
  </si>
  <si>
    <t>NCBI BLAST-start 
  what was/were the best hit(s)? (phage, gene #, % identity, e value)
 indicate the start for the query and subject/target (e.g. q1:s1)</t>
  </si>
  <si>
    <t>Starterator
  Is the start conserved in all members of this pham?
 How often has it been called when present?</t>
  </si>
  <si>
    <t>Start changed? 
  Yes or No, rationale for start choice
   If gene should be deleted, explain rationale here</t>
  </si>
  <si>
    <t>Function in phagesdb blast match(es)
  phage name, gene number, e value</t>
  </si>
  <si>
    <t>Function for homologous gene(s)
  phage(s), gene #(s)</t>
  </si>
  <si>
    <t>Synteny
  Would this function be expected in this part of the genome?
 What genes are adjacent?</t>
  </si>
  <si>
    <t>HHPred 
  description, probability, % alignment of query
 % alignment of target
 Is the functional domain in the target part of the alignment?
 Indicate whether these matches need further exploration</t>
  </si>
  <si>
    <t>Conserved domain
  functional domain identified?</t>
  </si>
  <si>
    <t>TMHMM – membrane protein
  number of predicted TMH
 confirmed by SOSUI?</t>
  </si>
  <si>
    <t>Final Function Call and rationale</t>
  </si>
  <si>
    <t>Additional notes about this gene: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</si>
</sst>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scheme val="minor"/>
    </font>
    <font>
      <sz val="11"/>
      <color theme="1"/>
      <name val="Arial"/>
    </font>
    <font>
      <b/>
      <u/>
      <sz val="14"/>
      <color theme="1"/>
      <name val="Arial"/>
    </font>
    <font>
      <b/>
      <u/>
      <sz val="14"/>
      <color theme="1"/>
      <name val="Arial"/>
    </font>
    <font>
      <b/>
      <u/>
      <sz val="14"/>
      <color theme="1"/>
      <name val="Arial"/>
    </font>
    <font>
      <sz val="11"/>
      <color theme="1"/>
      <name val="Calibri"/>
    </font>
    <font>
      <sz val="10"/>
      <color theme="1"/>
      <name val="Arial"/>
      <scheme val="minor"/>
    </font>
    <font>
      <sz val="10"/>
      <color theme="1"/>
      <name val="Arial"/>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12">
    <xf numFmtId="0" fontId="0" fillId="0" borderId="0" xfId="0"/>
    <xf numFmtId="0" fontId="1" fillId="0" borderId="0" xfId="0" applyFont="1" applyAlignment="1">
      <alignment horizontal="left" vertical="top"/>
    </xf>
    <xf numFmtId="0" fontId="2" fillId="0" borderId="0" xfId="0" applyFont="1" applyAlignment="1">
      <alignment horizontal="left" vertical="top"/>
    </xf>
    <xf numFmtId="0" fontId="1" fillId="0" borderId="1" xfId="0" applyFont="1" applyBorder="1" applyAlignment="1">
      <alignment horizontal="left" vertical="top"/>
    </xf>
    <xf numFmtId="0" fontId="3" fillId="0" borderId="2" xfId="0" applyFont="1" applyBorder="1" applyAlignment="1">
      <alignment horizontal="left" vertical="top"/>
    </xf>
    <xf numFmtId="0" fontId="1" fillId="0" borderId="3" xfId="0" applyFont="1" applyBorder="1" applyAlignment="1">
      <alignment horizontal="left" vertical="top"/>
    </xf>
    <xf numFmtId="0" fontId="4" fillId="0" borderId="4" xfId="0" applyFont="1" applyBorder="1" applyAlignment="1">
      <alignment horizontal="left" vertical="top"/>
    </xf>
    <xf numFmtId="0" fontId="5" fillId="0" borderId="0" xfId="0" applyFont="1" applyAlignment="1">
      <alignment horizontal="left"/>
    </xf>
    <xf numFmtId="0" fontId="6" fillId="0" borderId="0" xfId="0" applyFont="1" applyAlignment="1">
      <alignment horizontal="left"/>
    </xf>
    <xf numFmtId="0" fontId="1" fillId="0" borderId="0" xfId="0" applyFont="1" applyAlignment="1">
      <alignment horizontal="left"/>
    </xf>
    <xf numFmtId="0" fontId="6" fillId="0" borderId="0" xfId="0" applyFont="1"/>
    <xf numFmtId="0" fontId="7"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IFERROR(__xludf.DUMMYFUNCTION("IMPORTRANGE(""https://docs.google.com/spreadsheets/d/1xJbcWhjJwppoDUCHCotLHO1vyy_ugWR-w2T_Z5J7WD4"", ""S1!B1:B22"")"),"Rin Godfrey")</f>
        <v>Rin Godfrey</v>
      </c>
      <c r="C1" s="11" t="str">
        <f ca="1">IFERROR(__xludf.DUMMYFUNCTION("IMPORTRANGE(""https://docs.google.com/spreadsheets/d/19cQ7zWvMqLBhgqC8nl5nOal4YuMd-mbE3bz8Irjnl7E"", ""S1!B1:B22"")"),"Jake Stafford")</f>
        <v>Jake Stafford</v>
      </c>
      <c r="D1" s="2" t="s">
        <v>0</v>
      </c>
    </row>
    <row r="2" spans="1:4" ht="15.75" customHeight="1" x14ac:dyDescent="0.15">
      <c r="A2" s="3" t="s">
        <v>1</v>
      </c>
      <c r="B2" s="4" t="str">
        <f ca="1">IFERROR(__xludf.DUMMYFUNCTION("""COMPUTED_VALUE"""),"91 - 309 
FOR")</f>
        <v>91 - 309 
FOR</v>
      </c>
      <c r="C2" s="4" t="str">
        <f ca="1">IFERROR(__xludf.DUMMYFUNCTION("""COMPUTED_VALUE"""),"Start: 91 Stop: 309 FOR")</f>
        <v>Start: 91 Stop: 309 FOR</v>
      </c>
      <c r="D2" s="4"/>
    </row>
    <row r="3" spans="1:4" ht="15.75" customHeight="1" x14ac:dyDescent="0.15">
      <c r="A3" s="5" t="s">
        <v>2</v>
      </c>
      <c r="B3" s="6" t="str">
        <f ca="1">IFERROR(__xludf.DUMMYFUNCTION("""COMPUTED_VALUE"""),"DNA Master: 1
Phamerator: 1")</f>
        <v>DNA Master: 1
Phamerator: 1</v>
      </c>
      <c r="C3" s="6" t="str">
        <f ca="1">IFERROR(__xludf.DUMMYFUNCTION("""COMPUTED_VALUE"""),"#1 in pham and DNAM")</f>
        <v>#1 in pham and DNAM</v>
      </c>
      <c r="D3" s="6"/>
    </row>
    <row r="4" spans="1:4" ht="15.75" customHeight="1" x14ac:dyDescent="0.15">
      <c r="A4" s="5" t="s">
        <v>3</v>
      </c>
      <c r="B4" s="6" t="str">
        <f ca="1">IFERROR(__xludf.DUMMYFUNCTION("""COMPUTED_VALUE"""),"28741 3/31/25")</f>
        <v>28741 3/31/25</v>
      </c>
      <c r="C4" s="6" t="str">
        <f ca="1">IFERROR(__xludf.DUMMYFUNCTION("""COMPUTED_VALUE"""),"28741 4/2/25")</f>
        <v>28741 4/2/25</v>
      </c>
      <c r="D4" s="6"/>
    </row>
    <row r="5" spans="1:4" ht="15.75" customHeight="1" x14ac:dyDescent="0.15">
      <c r="A5" s="5" t="s">
        <v>4</v>
      </c>
      <c r="B5" s="6" t="str">
        <f ca="1">IFERROR(__xludf.DUMMYFUNCTION("""COMPUTED_VALUE"""),"GoodLuckBabe_1, Nandita_1")</f>
        <v>GoodLuckBabe_1, Nandita_1</v>
      </c>
      <c r="C5" s="6" t="str">
        <f ca="1">IFERROR(__xludf.DUMMYFUNCTION("""COMPUTED_VALUE"""),"GoodLuckBabe_1, Zaheer_1")</f>
        <v>GoodLuckBabe_1, Zaheer_1</v>
      </c>
      <c r="D5" s="6"/>
    </row>
    <row r="6" spans="1:4" ht="15.75" customHeight="1" x14ac:dyDescent="0.15">
      <c r="A6" s="5" t="s">
        <v>5</v>
      </c>
      <c r="B6" s="6" t="str">
        <f ca="1">IFERROR(__xludf.DUMMYFUNCTION("""COMPUTED_VALUE"""),"Glimmer Start: 91
GeneMark Start: 100")</f>
        <v>Glimmer Start: 91
GeneMark Start: 100</v>
      </c>
      <c r="C6" s="6" t="str">
        <f ca="1">IFERROR(__xludf.DUMMYFUNCTION("""COMPUTED_VALUE"""),"Glimmer calls 91, Genemark calls 100")</f>
        <v>Glimmer calls 91, Genemark calls 100</v>
      </c>
      <c r="D6" s="6"/>
    </row>
    <row r="7" spans="1:4" ht="15.75" customHeight="1" x14ac:dyDescent="0.15">
      <c r="A7" s="5" t="s">
        <v>6</v>
      </c>
      <c r="B7" s="6" t="str">
        <f ca="1">IFERROR(__xludf.DUMMYFUNCTION("""COMPUTED_VALUE"""),"It fine but could be better.")</f>
        <v>It fine but could be better.</v>
      </c>
      <c r="C7" s="6" t="str">
        <f ca="1">IFERROR(__xludf.DUMMYFUNCTION("""COMPUTED_VALUE"""),"Good potential, all is included")</f>
        <v>Good potential, all is included</v>
      </c>
      <c r="D7" s="6"/>
    </row>
    <row r="8" spans="1:4" ht="15.75" customHeight="1" x14ac:dyDescent="0.15">
      <c r="A8" s="5" t="s">
        <v>7</v>
      </c>
      <c r="B8" s="6" t="str">
        <f ca="1">IFERROR(__xludf.DUMMYFUNCTION("""COMPUTED_VALUE"""),"There one more posabel ORF")</f>
        <v>There one more posabel ORF</v>
      </c>
      <c r="C8" s="6" t="str">
        <f ca="1">IFERROR(__xludf.DUMMYFUNCTION("""COMPUTED_VALUE"""),"No, has a start before the one being used")</f>
        <v>No, has a start before the one being used</v>
      </c>
      <c r="D8" s="6"/>
    </row>
    <row r="9" spans="1:4" ht="15.75" customHeight="1" x14ac:dyDescent="0.15">
      <c r="A9" s="5" t="s">
        <v>8</v>
      </c>
      <c r="B9" s="6" t="str">
        <f ca="1">IFERROR(__xludf.DUMMYFUNCTION("""COMPUTED_VALUE"""),"Overlap of 3 nucleotides with the next gene")</f>
        <v>Overlap of 3 nucleotides with the next gene</v>
      </c>
      <c r="C9" s="6" t="str">
        <f ca="1">IFERROR(__xludf.DUMMYFUNCTION("""COMPUTED_VALUE"""),"No previous gene")</f>
        <v>No previous gene</v>
      </c>
      <c r="D9" s="6"/>
    </row>
    <row r="10" spans="1:4" ht="15.75" customHeight="1" x14ac:dyDescent="0.15">
      <c r="A10" s="5" t="s">
        <v>9</v>
      </c>
      <c r="B10" s="6" t="str">
        <f ca="1">IFERROR(__xludf.DUMMYFUNCTION("""COMPUTED_VALUE"""),"z-score: 3.107, F-score: -2.356
there is another score before this but it is worse overall. This is also for the start at 91 ")</f>
        <v xml:space="preserve">z-score: 3.107, F-score: -2.356
there is another score before this but it is worse overall. This is also for the start at 91 </v>
      </c>
      <c r="C10" s="6" t="str">
        <f ca="1">IFERROR(__xludf.DUMMYFUNCTION("""COMPUTED_VALUE"""),"The start being used (#2) zscore: 3.107 fscore: -2.356. Best Score")</f>
        <v>The start being used (#2) zscore: 3.107 fscore: -2.356. Best Score</v>
      </c>
      <c r="D10" s="6"/>
    </row>
    <row r="11" spans="1:4" ht="15.75" customHeight="1" x14ac:dyDescent="0.15">
      <c r="A11" s="5" t="s">
        <v>10</v>
      </c>
      <c r="B11" s="6" t="str">
        <f ca="1">IFERROR(__xludf.DUMMYFUNCTION("""COMPUTED_VALUE"""),"Nandita_1 
99% identity, 7e-42 q:1 s:1	")</f>
        <v xml:space="preserve">Nandita_1 
99% identity, 7e-42 q:1 s:1	</v>
      </c>
      <c r="C11" s="6" t="str">
        <f ca="1">IFERROR(__xludf.DUMMYFUNCTION("""COMPUTED_VALUE"""),"Nandita_1, 98.61% identity, eval of 7e-42. Ryan_1, 72.22% Identity, eval of 7e-28")</f>
        <v>Nandita_1, 98.61% identity, eval of 7e-42. Ryan_1, 72.22% Identity, eval of 7e-28</v>
      </c>
      <c r="D11" s="6"/>
    </row>
    <row r="12" spans="1:4" ht="15.75" customHeight="1" x14ac:dyDescent="0.15">
      <c r="A12" s="5" t="s">
        <v>11</v>
      </c>
      <c r="B12" s="6" t="str">
        <f ca="1">IFERROR(__xludf.DUMMYFUNCTION("""COMPUTED_VALUE"""),"Yes this is found in 100% of phams and is called 100% of the time")</f>
        <v>Yes this is found in 100% of phams and is called 100% of the time</v>
      </c>
      <c r="C12" s="6" t="str">
        <f ca="1">IFERROR(__xludf.DUMMYFUNCTION("""COMPUTED_VALUE"""),"Conserved in all members and call 100% of the time")</f>
        <v>Conserved in all members and call 100% of the time</v>
      </c>
      <c r="D12" s="6"/>
    </row>
    <row r="13" spans="1:4" ht="15.75" customHeight="1" x14ac:dyDescent="0.15">
      <c r="A13" s="5" t="s">
        <v>12</v>
      </c>
      <c r="B13" s="6" t="str">
        <f ca="1">IFERROR(__xludf.DUMMYFUNCTION("""COMPUTED_VALUE"""),"No ")</f>
        <v xml:space="preserve">No </v>
      </c>
      <c r="C13" s="6" t="str">
        <f ca="1">IFERROR(__xludf.DUMMYFUNCTION("""COMPUTED_VALUE"""),"Start should not be changed, start is conserved in all members of pham and is called 100% of the time.")</f>
        <v>Start should not be changed, start is conserved in all members of pham and is called 100% of the time.</v>
      </c>
      <c r="D13" s="6"/>
    </row>
    <row r="14" spans="1:4" ht="15.75" customHeight="1" x14ac:dyDescent="0.15">
      <c r="A14" s="5" t="s">
        <v>13</v>
      </c>
      <c r="B14" s="6" t="str">
        <f ca="1">IFERROR(__xludf.DUMMYFUNCTION("""COMPUTED_VALUE"""),"Nandita_1, 1e-33 
Lenoxika_Draft_1, 1e-33 ")</f>
        <v xml:space="preserve">Nandita_1, 1e-33 
Lenoxika_Draft_1, 1e-33 </v>
      </c>
      <c r="C14" s="6" t="str">
        <f ca="1">IFERROR(__xludf.DUMMYFUNCTION("""COMPUTED_VALUE"""),"Lenoxika_1, 1e-33, Guinevera_1, 1e-33")</f>
        <v>Lenoxika_1, 1e-33, Guinevera_1, 1e-33</v>
      </c>
      <c r="D14" s="6"/>
    </row>
    <row r="15" spans="1:4" ht="15.75" customHeight="1" x14ac:dyDescent="0.15">
      <c r="A15" s="5" t="s">
        <v>14</v>
      </c>
      <c r="B15" s="6" t="str">
        <f ca="1">IFERROR(__xludf.DUMMYFUNCTION("""COMPUTED_VALUE"""),"unknown function")</f>
        <v>unknown function</v>
      </c>
      <c r="C15" s="6" t="str">
        <f ca="1">IFERROR(__xludf.DUMMYFUNCTION("""COMPUTED_VALUE"""),"Lenoxika_1 function unknown, Guinevera_1 function unknown")</f>
        <v>Lenoxika_1 function unknown, Guinevera_1 function unknown</v>
      </c>
      <c r="D15" s="6"/>
    </row>
    <row r="16" spans="1:4" ht="15.75" customHeight="1" x14ac:dyDescent="0.15">
      <c r="A16" s="5" t="s">
        <v>15</v>
      </c>
      <c r="B16" s="6" t="str">
        <f ca="1">IFERROR(__xludf.DUMMYFUNCTION("""COMPUTED_VALUE"""),"Matches well with Nandita ")</f>
        <v xml:space="preserve">Matches well with Nandita </v>
      </c>
      <c r="C16" s="6" t="str">
        <f ca="1">IFERROR(__xludf.DUMMYFUNCTION("""COMPUTED_VALUE"""),"Yes, adjacent in Guinevera 1-35")</f>
        <v>Yes, adjacent in Guinevera 1-35</v>
      </c>
      <c r="D16" s="6"/>
    </row>
    <row r="17" spans="1:4" ht="15.75" customHeight="1" x14ac:dyDescent="0.15">
      <c r="A17" s="5" t="s">
        <v>16</v>
      </c>
      <c r="B17" s="6" t="str">
        <f ca="1">IFERROR(__xludf.DUMMYFUNCTION("""COMPUTED_VALUE"""),"5FMK_B BCL-2 HOMOLOGOUS ANTAGONIST/KILLER; BCL-XL, BAK, BH3 DOMAIN, APOPTOSIS, BCL-2 FAMILY; HET: GOL; 1.731A {HOMO SAPIENS}
Probability: 49.11%, Query: 28%, Target: 59%
The functional domain is a part of the targeted alignment and is fully covered.")</f>
        <v>5FMK_B BCL-2 HOMOLOGOUS ANTAGONIST/KILLER; BCL-XL, BAK, BH3 DOMAIN, APOPTOSIS, BCL-2 FAMILY; HET: GOL; 1.731A {HOMO SAPIENS}
Probability: 49.11%, Query: 28%, Target: 59%
The functional domain is a part of the targeted alignment and is fully covered.</v>
      </c>
      <c r="C17" s="6" t="str">
        <f ca="1">IFERROR(__xludf.DUMMYFUNCTION("""COMPUTED_VALUE"""),"BCL-2 HOMOLOGOUS ANTAGONIST/KILLER; BCL-XL, BAK, BH3 DOMAIN, APOPTOSIS, BCL-2 FAMILY; HET: GOL; 1.731A {HOMO SAPIENS}, 49.11% Identity, 27.78% allq, 58.82% allt, Not in target part of the alignment.")</f>
        <v>BCL-2 HOMOLOGOUS ANTAGONIST/KILLER; BCL-XL, BAK, BH3 DOMAIN, APOPTOSIS, BCL-2 FAMILY; HET: GOL; 1.731A {HOMO SAPIENS}, 49.11% Identity, 27.78% allq, 58.82% allt, Not in target part of the alignment.</v>
      </c>
      <c r="D17" s="6"/>
    </row>
    <row r="18" spans="1:4" ht="15.75" customHeight="1" x14ac:dyDescent="0.15">
      <c r="A18" s="5" t="s">
        <v>17</v>
      </c>
      <c r="B18" s="6" t="str">
        <f ca="1">IFERROR(__xludf.DUMMYFUNCTION("""COMPUTED_VALUE"""),"none")</f>
        <v>none</v>
      </c>
      <c r="C18" s="6" t="str">
        <f ca="1">IFERROR(__xludf.DUMMYFUNCTION("""COMPUTED_VALUE"""),"None")</f>
        <v>None</v>
      </c>
      <c r="D18" s="6"/>
    </row>
    <row r="19" spans="1:4" ht="15.75" customHeight="1" x14ac:dyDescent="0.15">
      <c r="A19" s="5" t="s">
        <v>18</v>
      </c>
      <c r="B19" s="6" t="str">
        <f ca="1">IFERROR(__xludf.DUMMYFUNCTION("""COMPUTED_VALUE"""),"none")</f>
        <v>none</v>
      </c>
      <c r="C19" s="6" t="str">
        <f ca="1">IFERROR(__xludf.DUMMYFUNCTION("""COMPUTED_VALUE"""),"None")</f>
        <v>None</v>
      </c>
      <c r="D19" s="6"/>
    </row>
    <row r="20" spans="1:4" ht="15.75" customHeight="1" x14ac:dyDescent="0.15">
      <c r="A20" s="5" t="s">
        <v>19</v>
      </c>
      <c r="B20" s="6" t="str">
        <f ca="1">IFERROR(__xludf.DUMMYFUNCTION("""COMPUTED_VALUE"""),"unknown function there is no evidence to find a function for this gene")</f>
        <v>unknown function there is no evidence to find a function for this gene</v>
      </c>
      <c r="C20" s="6" t="str">
        <f ca="1">IFERROR(__xludf.DUMMYFUNCTION("""COMPUTED_VALUE"""),"Hypothetical protein, didn't get good hits from HHpred. Homologous genes have unknown functions.")</f>
        <v>Hypothetical protein, didn't get good hits from HHpred. Homologous genes have unknown functions.</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IFERROR(__xludf.DUMMYFUNCTION("IMPORTRANGE(""https://docs.google.com/spreadsheets/d/1NBZgc2wQWlGwpwt7AcCySCDz0bod7B0VKf0lrtlBP8Q"", ""S2!B1:B22"")"),"Jackson Root")</f>
        <v>Jackson Root</v>
      </c>
      <c r="C1" s="11" t="str">
        <f ca="1">IFERROR(__xludf.DUMMYFUNCTION("IMPORTRANGE(""https://docs.google.com/spreadsheets/d/19cQ7zWvMqLBhgqC8nl5nOal4YuMd-mbE3bz8Irjnl7E"", ""S2!B1:B22"")"),"Jake Stafford")</f>
        <v>Jake Stafford</v>
      </c>
      <c r="D1" s="2" t="s">
        <v>0</v>
      </c>
    </row>
    <row r="2" spans="1:4" ht="15.75" customHeight="1" x14ac:dyDescent="0.15">
      <c r="A2" s="3" t="s">
        <v>1</v>
      </c>
      <c r="B2" s="4" t="str">
        <f ca="1">IFERROR(__xludf.DUMMYFUNCTION("""COMPUTED_VALUE"""),"Start: 306    Stop:743   Forward")</f>
        <v>Start: 306    Stop:743   Forward</v>
      </c>
      <c r="C2" s="4" t="str">
        <f ca="1">IFERROR(__xludf.DUMMYFUNCTION("""COMPUTED_VALUE"""),"Start:306 Stop:743  FOR")</f>
        <v>Start:306 Stop:743  FOR</v>
      </c>
      <c r="D2" s="4"/>
    </row>
    <row r="3" spans="1:4" ht="15.75" customHeight="1" x14ac:dyDescent="0.15">
      <c r="A3" s="5" t="s">
        <v>2</v>
      </c>
      <c r="B3" s="6" t="str">
        <f ca="1">IFERROR(__xludf.DUMMYFUNCTION("""COMPUTED_VALUE"""),"Pham: 2;  DNA: 2")</f>
        <v>Pham: 2;  DNA: 2</v>
      </c>
      <c r="C3" s="6" t="str">
        <f ca="1">IFERROR(__xludf.DUMMYFUNCTION("""COMPUTED_VALUE"""),"2 in Pham and DNAM")</f>
        <v>2 in Pham and DNAM</v>
      </c>
      <c r="D3" s="6"/>
    </row>
    <row r="4" spans="1:4" ht="15.75" customHeight="1" x14ac:dyDescent="0.15">
      <c r="A4" s="5" t="s">
        <v>3</v>
      </c>
      <c r="B4" s="6" t="str">
        <f ca="1">IFERROR(__xludf.DUMMYFUNCTION("""COMPUTED_VALUE"""),"pham 29098   04/01/2025")</f>
        <v>pham 29098   04/01/2025</v>
      </c>
      <c r="C4" s="6" t="str">
        <f ca="1">IFERROR(__xludf.DUMMYFUNCTION("""COMPUTED_VALUE"""),"29098 4/2/25")</f>
        <v>29098 4/2/25</v>
      </c>
      <c r="D4" s="6"/>
    </row>
    <row r="5" spans="1:4" ht="15.75" customHeight="1" x14ac:dyDescent="0.15">
      <c r="A5" s="5" t="s">
        <v>4</v>
      </c>
      <c r="B5" s="6" t="str">
        <f ca="1">IFERROR(__xludf.DUMMYFUNCTION("""COMPUTED_VALUE"""),"Nandita_2, Zaheer_2")</f>
        <v>Nandita_2, Zaheer_2</v>
      </c>
      <c r="C5" s="6" t="str">
        <f ca="1">IFERROR(__xludf.DUMMYFUNCTION("""COMPUTED_VALUE"""),"GoodLuckBabe_2, Guinevera_2")</f>
        <v>GoodLuckBabe_2, Guinevera_2</v>
      </c>
      <c r="D5" s="6"/>
    </row>
    <row r="6" spans="1:4" ht="15.75" customHeight="1" x14ac:dyDescent="0.15">
      <c r="A6" s="5" t="s">
        <v>5</v>
      </c>
      <c r="B6" s="6" t="str">
        <f ca="1">IFERROR(__xludf.DUMMYFUNCTION("""COMPUTED_VALUE"""),"Glimmer calls 306 while Gene calls 318")</f>
        <v>Glimmer calls 306 while Gene calls 318</v>
      </c>
      <c r="C6" s="6" t="str">
        <f ca="1">IFERROR(__xludf.DUMMYFUNCTION("""COMPUTED_VALUE"""),"Glimmer called 306, Genemark Called 318")</f>
        <v>Glimmer called 306, Genemark Called 318</v>
      </c>
      <c r="D6" s="6"/>
    </row>
    <row r="7" spans="1:4" ht="15.75" customHeight="1" x14ac:dyDescent="0.15">
      <c r="A7" s="5" t="s">
        <v>6</v>
      </c>
      <c r="B7" s="6" t="str">
        <f ca="1">IFERROR(__xludf.DUMMYFUNCTION("""COMPUTED_VALUE"""),"there is coding potential, but glimmer call gets more potential whereas Genemark doesnt")</f>
        <v>there is coding potential, but glimmer call gets more potential whereas Genemark doesnt</v>
      </c>
      <c r="C7" s="6" t="str">
        <f ca="1">IFERROR(__xludf.DUMMYFUNCTION("""COMPUTED_VALUE"""),"Good coding potential all is included")</f>
        <v>Good coding potential all is included</v>
      </c>
      <c r="D7" s="6"/>
    </row>
    <row r="8" spans="1:4" ht="15.75" customHeight="1" x14ac:dyDescent="0.15">
      <c r="A8" s="5" t="s">
        <v>7</v>
      </c>
      <c r="B8" s="6" t="str">
        <f ca="1">IFERROR(__xludf.DUMMYFUNCTION("""COMPUTED_VALUE"""),"Yes bc we prefer glimmer over genemark, and glimmer alles the longest ORF")</f>
        <v>Yes bc we prefer glimmer over genemark, and glimmer alles the longest ORF</v>
      </c>
      <c r="C8" s="6" t="str">
        <f ca="1">IFERROR(__xludf.DUMMYFUNCTION("""COMPUTED_VALUE"""),"Longest orf")</f>
        <v>Longest orf</v>
      </c>
      <c r="D8" s="6"/>
    </row>
    <row r="9" spans="1:4" ht="15.75" customHeight="1" x14ac:dyDescent="0.15">
      <c r="A9" s="5" t="s">
        <v>8</v>
      </c>
      <c r="B9" s="6" t="str">
        <f ca="1">IFERROR(__xludf.DUMMYFUNCTION("""COMPUTED_VALUE"""),"With glimmer call, 3 bp overlap with gene #1")</f>
        <v>With glimmer call, 3 bp overlap with gene #1</v>
      </c>
      <c r="C9" s="6" t="str">
        <f ca="1">IFERROR(__xludf.DUMMYFUNCTION("""COMPUTED_VALUE"""),"Overlap of 4 nucleotide")</f>
        <v>Overlap of 4 nucleotide</v>
      </c>
      <c r="D9" s="6"/>
    </row>
    <row r="10" spans="1:4" ht="15.75" customHeight="1" x14ac:dyDescent="0.15">
      <c r="A10" s="5" t="s">
        <v>9</v>
      </c>
      <c r="B10" s="6" t="str">
        <f ca="1">IFERROR(__xludf.DUMMYFUNCTION("""COMPUTED_VALUE"""),"Glimmer: Z score: 1.955; Final score: -4.699;  Gene Mark: Z score: 2.479; Final: -4.426")</f>
        <v>Glimmer: Z score: 1.955; Final score: -4.699;  Gene Mark: Z score: 2.479; Final: -4.426</v>
      </c>
      <c r="C10" s="6" t="str">
        <f ca="1">IFERROR(__xludf.DUMMYFUNCTION("""COMPUTED_VALUE"""),"Start #1 z-score: 1.955, f-score: -4.669. Not best score. Start#2 z-score: 2.479, f-score: -4.426")</f>
        <v>Start #1 z-score: 1.955, f-score: -4.669. Not best score. Start#2 z-score: 2.479, f-score: -4.426</v>
      </c>
      <c r="D10" s="6"/>
    </row>
    <row r="11" spans="1:4" ht="15.75" customHeight="1" x14ac:dyDescent="0.15">
      <c r="A11" s="5" t="s">
        <v>10</v>
      </c>
      <c r="B11" s="6" t="str">
        <f ca="1">IFERROR(__xludf.DUMMYFUNCTION("""COMPUTED_VALUE"""),"Best hit: Nandita and Zaheer; % Identity: ; E-val: 0.0e0; Q: 5-145; T:1-141")</f>
        <v>Best hit: Nandita and Zaheer; % Identity: ; E-val: 0.0e0; Q: 5-145; T:1-141</v>
      </c>
      <c r="C11" s="6" t="str">
        <f ca="1">IFERROR(__xludf.DUMMYFUNCTION("""COMPUTED_VALUE"""),"Nandita_2, 97.87% Identity, 3e-95, Zaheer_2, 69.59% Identity, 6e-67")</f>
        <v>Nandita_2, 97.87% Identity, 3e-95, Zaheer_2, 69.59% Identity, 6e-67</v>
      </c>
      <c r="D11" s="6"/>
    </row>
    <row r="12" spans="1:4" ht="15.75" customHeight="1" x14ac:dyDescent="0.15">
      <c r="A12" s="5" t="s">
        <v>11</v>
      </c>
      <c r="B12" s="6" t="str">
        <f ca="1">IFERROR(__xludf.DUMMYFUNCTION("""COMPUTED_VALUE"""),"Start #1: conserved in members and called 83% when present;  Start #2: conserved in members, called 12% when present")</f>
        <v>Start #1: conserved in members and called 83% when present;  Start #2: conserved in members, called 12% when present</v>
      </c>
      <c r="C12" s="6" t="str">
        <f ca="1">IFERROR(__xludf.DUMMYFUNCTION("""COMPUTED_VALUE"""),"Start 1 and 2 found in 100% genes in pham. Start 1 is called 83.3% of the time, start 2 is called 16.7% of the time.")</f>
        <v>Start 1 and 2 found in 100% genes in pham. Start 1 is called 83.3% of the time, start 2 is called 16.7% of the time.</v>
      </c>
      <c r="D12" s="6"/>
    </row>
    <row r="13" spans="1:4" ht="15.75" customHeight="1" x14ac:dyDescent="0.15">
      <c r="A13" s="5" t="s">
        <v>12</v>
      </c>
      <c r="B13" s="6" t="str">
        <f ca="1">IFERROR(__xludf.DUMMYFUNCTION("""COMPUTED_VALUE"""),"no start change because we prefer glimmer over Genemark")</f>
        <v>no start change because we prefer glimmer over Genemark</v>
      </c>
      <c r="C13" s="6" t="str">
        <f ca="1">IFERROR(__xludf.DUMMYFUNCTION("""COMPUTED_VALUE"""),"Start changed to 2nd start")</f>
        <v>Start changed to 2nd start</v>
      </c>
      <c r="D13" s="6"/>
    </row>
    <row r="14" spans="1:4" ht="15.75" customHeight="1" x14ac:dyDescent="0.15">
      <c r="A14" s="5" t="s">
        <v>13</v>
      </c>
      <c r="B14" s="6" t="str">
        <f ca="1">IFERROR(__xludf.DUMMYFUNCTION("""COMPUTED_VALUE"""),"Lenoxika_Draft_2: 5e-80; Guinevere_Draft_2: 2e-79")</f>
        <v>Lenoxika_Draft_2: 5e-80; Guinevere_Draft_2: 2e-79</v>
      </c>
      <c r="C14" s="6" t="str">
        <f ca="1">IFERROR(__xludf.DUMMYFUNCTION("""COMPUTED_VALUE"""),"Lenoxika_2, 2e-79. Guinevera_2, 2e-78")</f>
        <v>Lenoxika_2, 2e-79. Guinevera_2, 2e-78</v>
      </c>
      <c r="D14" s="6"/>
    </row>
    <row r="15" spans="1:4" ht="15.75" customHeight="1" x14ac:dyDescent="0.15">
      <c r="A15" s="5" t="s">
        <v>14</v>
      </c>
      <c r="B15" s="6" t="str">
        <f ca="1">IFERROR(__xludf.DUMMYFUNCTION("""COMPUTED_VALUE"""),"Function unknown, acetyltransferase, terminase, capsid maturation protease")</f>
        <v>Function unknown, acetyltransferase, terminase, capsid maturation protease</v>
      </c>
      <c r="C15" s="6" t="str">
        <f ca="1">IFERROR(__xludf.DUMMYFUNCTION("""COMPUTED_VALUE"""),"Both have unknown functions")</f>
        <v>Both have unknown functions</v>
      </c>
      <c r="D15" s="6"/>
    </row>
    <row r="16" spans="1:4" ht="15.75" customHeight="1" x14ac:dyDescent="0.15">
      <c r="A16" s="5" t="s">
        <v>15</v>
      </c>
      <c r="B16" s="6" t="str">
        <f ca="1">IFERROR(__xludf.DUMMYFUNCTION("""COMPUTED_VALUE"""),"Yes, found in the same genetic environment as Nandita_2")</f>
        <v>Yes, found in the same genetic environment as Nandita_2</v>
      </c>
      <c r="C16" s="6" t="str">
        <f ca="1">IFERROR(__xludf.DUMMYFUNCTION("""COMPUTED_VALUE"""),"Yes, adjacent 1-35 in Guinevera")</f>
        <v>Yes, adjacent 1-35 in Guinevera</v>
      </c>
      <c r="D16" s="6"/>
    </row>
    <row r="17" spans="1:4" ht="15.75" customHeight="1" x14ac:dyDescent="0.15">
      <c r="A17" s="5" t="s">
        <v>16</v>
      </c>
      <c r="B17" s="6" t="str">
        <f ca="1">IFERROR(__xludf.DUMMYFUNCTION("""COMPUTED_VALUE"""),"Function found in alignment, mostly regulatory protiens, some Chromosomal replication initiator protein, some  ATP-dependent target DNA activator B, one flagellar regulatory gene; %Q: 71%; % T: 38.6%")</f>
        <v>Function found in alignment, mostly regulatory protiens, some Chromosomal replication initiator protein, some  ATP-dependent target DNA activator B, one flagellar regulatory gene; %Q: 71%; % T: 38.6%</v>
      </c>
      <c r="C17" s="6" t="str">
        <f ca="1">IFERROR(__xludf.DUMMYFUNCTION("""COMPUTED_VALUE"""),"Flagellar regulatory protein C; AAA+ ATPase domain, ATPase activity, TRANSCRIPTION; HET: EDO; 2.3A {Vibrio cholerae}, 98.36% Identity, 71.03% allq, 38.58%, target part of the alignment of the functional domain")</f>
        <v>Flagellar regulatory protein C; AAA+ ATPase domain, ATPase activity, TRANSCRIPTION; HET: EDO; 2.3A {Vibrio cholerae}, 98.36% Identity, 71.03% allq, 38.58%, target part of the alignment of the functional domain</v>
      </c>
      <c r="D17" s="6"/>
    </row>
    <row r="18" spans="1:4" ht="15.75" customHeight="1" x14ac:dyDescent="0.15">
      <c r="A18" s="5" t="s">
        <v>17</v>
      </c>
      <c r="B18" s="6" t="str">
        <f ca="1">IFERROR(__xludf.DUMMYFUNCTION("""COMPUTED_VALUE"""),"No conserved domains")</f>
        <v>No conserved domains</v>
      </c>
      <c r="C18" s="6" t="str">
        <f ca="1">IFERROR(__xludf.DUMMYFUNCTION("""COMPUTED_VALUE"""),"none")</f>
        <v>none</v>
      </c>
      <c r="D18" s="6"/>
    </row>
    <row r="19" spans="1:4" ht="15.75" customHeight="1" x14ac:dyDescent="0.15">
      <c r="A19" s="5" t="s">
        <v>18</v>
      </c>
      <c r="B19" s="6" t="str">
        <f ca="1">IFERROR(__xludf.DUMMYFUNCTION("""COMPUTED_VALUE"""),"Not a membrane protien, most likely inside the membrane")</f>
        <v>Not a membrane protien, most likely inside the membrane</v>
      </c>
      <c r="C19" s="6" t="str">
        <f ca="1">IFERROR(__xludf.DUMMYFUNCTION("""COMPUTED_VALUE"""),"none")</f>
        <v>none</v>
      </c>
      <c r="D19" s="6"/>
    </row>
    <row r="20" spans="1:4" ht="15.75" customHeight="1" x14ac:dyDescent="0.15">
      <c r="A20" s="5" t="s">
        <v>19</v>
      </c>
      <c r="B20" s="6" t="str">
        <f ca="1">IFERROR(__xludf.DUMMYFUNCTION("""COMPUTED_VALUE"""),"Hypothetical protien because although there are good hits for multiple different regulatory protiens, the approved functions call list does not have any, and therefore we cannor call it a regulatory protien")</f>
        <v>Hypothetical protien because although there are good hits for multiple different regulatory protiens, the approved functions call list does not have any, and therefore we cannor call it a regulatory protien</v>
      </c>
      <c r="C20" s="6" t="str">
        <f ca="1">IFERROR(__xludf.DUMMYFUNCTION("""COMPUTED_VALUE"""),"Largest hit from HHpred does not appear on the approved functions list, all homologous genes have unknown functions. I think that this gene is hypothetical")</f>
        <v>Largest hit from HHpred does not appear on the approved functions list, all homologous genes have unknown functions. I think that this gene is hypothetical</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IFERROR(__xludf.DUMMYFUNCTION("IMPORTRANGE(""https://docs.google.com/spreadsheets/d/1lnhM27PotbG3sLgv1l-Z-v-YjCyKJ0DlymQrusc2STA"", ""S3!B1:B22"")"),"Put Your Name Here")</f>
        <v>Put Your Name Here</v>
      </c>
      <c r="C1" s="11" t="str">
        <f ca="1">IFERROR(__xludf.DUMMYFUNCTION("IMPORTRANGE(""https://docs.google.com/spreadsheets/d/1xJbcWhjJwppoDUCHCotLHO1vyy_ugWR-w2T_Z5J7WD4"", ""S3!B1:B22"")"),"Rin Godfrey")</f>
        <v>Rin Godfrey</v>
      </c>
      <c r="D1" s="2" t="s">
        <v>0</v>
      </c>
    </row>
    <row r="2" spans="1:4" ht="15.75" customHeight="1" x14ac:dyDescent="0.15">
      <c r="A2" s="3" t="s">
        <v>1</v>
      </c>
      <c r="B2" s="4" t="str">
        <f ca="1">IFERROR(__xludf.DUMMYFUNCTION("""COMPUTED_VALUE"""),"753 to 836 (Forward)")</f>
        <v>753 to 836 (Forward)</v>
      </c>
      <c r="C2" s="4" t="str">
        <f ca="1">IFERROR(__xludf.DUMMYFUNCTION("""COMPUTED_VALUE"""),"752 to 839 (Forward)")</f>
        <v>752 to 839 (Forward)</v>
      </c>
      <c r="D2" s="4"/>
    </row>
    <row r="3" spans="1:4" ht="15.75" customHeight="1" x14ac:dyDescent="0.15">
      <c r="A3" s="5" t="s">
        <v>2</v>
      </c>
      <c r="B3" s="6" t="str">
        <f ca="1">IFERROR(__xludf.DUMMYFUNCTION("""COMPUTED_VALUE"""),"3 in PDB")</f>
        <v>3 in PDB</v>
      </c>
      <c r="C3" s="6" t="str">
        <f ca="1">IFERROR(__xludf.DUMMYFUNCTION("""COMPUTED_VALUE"""),"DNA Master: not numbered
Phamorater: 3")</f>
        <v>DNA Master: not numbered
Phamorater: 3</v>
      </c>
      <c r="D3" s="6"/>
    </row>
    <row r="4" spans="1:4" ht="15.75" customHeight="1" x14ac:dyDescent="0.15">
      <c r="A4" s="5" t="s">
        <v>3</v>
      </c>
      <c r="B4" s="6" t="str">
        <f ca="1">IFERROR(__xludf.DUMMYFUNCTION("""COMPUTED_VALUE"""),"Not in Pham")</f>
        <v>Not in Pham</v>
      </c>
      <c r="C4" s="6" t="str">
        <f ca="1">IFERROR(__xludf.DUMMYFUNCTION("""COMPUTED_VALUE"""),"N/A")</f>
        <v>N/A</v>
      </c>
      <c r="D4" s="6"/>
    </row>
    <row r="5" spans="1:4" ht="15.75" customHeight="1" x14ac:dyDescent="0.15">
      <c r="A5" s="5" t="s">
        <v>4</v>
      </c>
      <c r="B5" s="6" t="str">
        <f ca="1">IFERROR(__xludf.DUMMYFUNCTION("""COMPUTED_VALUE"""),"None")</f>
        <v>None</v>
      </c>
      <c r="C5" s="6"/>
      <c r="D5" s="6"/>
    </row>
    <row r="6" spans="1:4" ht="15.75" customHeight="1" x14ac:dyDescent="0.15">
      <c r="A6" s="5" t="s">
        <v>5</v>
      </c>
      <c r="B6" s="6" t="str">
        <f ca="1">IFERROR(__xludf.DUMMYFUNCTION("""COMPUTED_VALUE"""),"N/A")</f>
        <v>N/A</v>
      </c>
      <c r="C6" s="6" t="str">
        <f ca="1">IFERROR(__xludf.DUMMYFUNCTION("""COMPUTED_VALUE"""),"N/A")</f>
        <v>N/A</v>
      </c>
      <c r="D6" s="6"/>
    </row>
    <row r="7" spans="1:4" ht="15.75" customHeight="1" x14ac:dyDescent="0.15">
      <c r="A7" s="5" t="s">
        <v>6</v>
      </c>
      <c r="B7" s="6" t="str">
        <f ca="1">IFERROR(__xludf.DUMMYFUNCTION("""COMPUTED_VALUE"""),"A little coding potential")</f>
        <v>A little coding potential</v>
      </c>
      <c r="C7" s="6"/>
      <c r="D7" s="6"/>
    </row>
    <row r="8" spans="1:4" ht="15.75" customHeight="1" x14ac:dyDescent="0.15">
      <c r="A8" s="5" t="s">
        <v>7</v>
      </c>
      <c r="B8" s="6" t="str">
        <f ca="1">IFERROR(__xludf.DUMMYFUNCTION("""COMPUTED_VALUE"""),"No")</f>
        <v>No</v>
      </c>
      <c r="C8" s="6" t="str">
        <f ca="1">IFERROR(__xludf.DUMMYFUNCTION("""COMPUTED_VALUE"""),"It is right in the middle of")</f>
        <v>It is right in the middle of</v>
      </c>
      <c r="D8" s="6"/>
    </row>
    <row r="9" spans="1:4" ht="15.75" customHeight="1" x14ac:dyDescent="0.15">
      <c r="A9" s="5" t="s">
        <v>8</v>
      </c>
      <c r="B9" s="6" t="str">
        <f ca="1">IFERROR(__xludf.DUMMYFUNCTION("""COMPUTED_VALUE"""),"10 bp gap")</f>
        <v>10 bp gap</v>
      </c>
      <c r="C9" s="6"/>
      <c r="D9" s="6"/>
    </row>
    <row r="10" spans="1:4" ht="15.75" customHeight="1" x14ac:dyDescent="0.15">
      <c r="A10" s="5" t="s">
        <v>9</v>
      </c>
      <c r="B10" s="6" t="str">
        <f ca="1">IFERROR(__xludf.DUMMYFUNCTION("""COMPUTED_VALUE"""),"N/A")</f>
        <v>N/A</v>
      </c>
      <c r="C10" s="6"/>
      <c r="D10" s="6"/>
    </row>
    <row r="11" spans="1:4" ht="15.75" customHeight="1" x14ac:dyDescent="0.15">
      <c r="A11" s="5" t="s">
        <v>10</v>
      </c>
      <c r="B11" s="6" t="str">
        <f ca="1">IFERROR(__xludf.DUMMYFUNCTION("""COMPUTED_VALUE"""),"N/A")</f>
        <v>N/A</v>
      </c>
      <c r="C11" s="6"/>
      <c r="D11" s="6"/>
    </row>
    <row r="12" spans="1:4" ht="15.75" customHeight="1" x14ac:dyDescent="0.15">
      <c r="A12" s="5" t="s">
        <v>11</v>
      </c>
      <c r="B12" s="6"/>
      <c r="C12" s="6"/>
      <c r="D12" s="6"/>
    </row>
    <row r="13" spans="1:4" ht="15.75" customHeight="1" x14ac:dyDescent="0.15">
      <c r="A13" s="5" t="s">
        <v>12</v>
      </c>
      <c r="B13" s="6" t="str">
        <f ca="1">IFERROR(__xludf.DUMMYFUNCTION("""COMPUTED_VALUE"""),"No")</f>
        <v>No</v>
      </c>
      <c r="C13" s="6"/>
      <c r="D13" s="6"/>
    </row>
    <row r="14" spans="1:4" ht="15.75" customHeight="1" x14ac:dyDescent="0.15">
      <c r="A14" s="5" t="s">
        <v>13</v>
      </c>
      <c r="B14" s="6"/>
      <c r="C14" s="6"/>
      <c r="D14" s="6"/>
    </row>
    <row r="15" spans="1:4" ht="15.75" customHeight="1" x14ac:dyDescent="0.15">
      <c r="A15" s="5" t="s">
        <v>14</v>
      </c>
      <c r="B15" s="6"/>
      <c r="C15" s="6"/>
      <c r="D15" s="6"/>
    </row>
    <row r="16" spans="1:4" ht="15.75" customHeight="1" x14ac:dyDescent="0.15">
      <c r="A16" s="5" t="s">
        <v>15</v>
      </c>
      <c r="B16" s="6"/>
      <c r="C16" s="6"/>
      <c r="D16" s="6"/>
    </row>
    <row r="17" spans="1:4" ht="15.75" customHeight="1" x14ac:dyDescent="0.15">
      <c r="A17" s="5" t="s">
        <v>16</v>
      </c>
      <c r="B17" s="6" t="str">
        <f ca="1">IFERROR(__xludf.DUMMYFUNCTION("""COMPUTED_VALUE"""),"N/A")</f>
        <v>N/A</v>
      </c>
      <c r="C17" s="6"/>
      <c r="D17" s="6"/>
    </row>
    <row r="18" spans="1:4" ht="15.75" customHeight="1" x14ac:dyDescent="0.15">
      <c r="A18" s="5" t="s">
        <v>17</v>
      </c>
      <c r="B18" s="6" t="str">
        <f ca="1">IFERROR(__xludf.DUMMYFUNCTION("""COMPUTED_VALUE"""),"N/A")</f>
        <v>N/A</v>
      </c>
      <c r="C18" s="6"/>
      <c r="D18" s="6"/>
    </row>
    <row r="19" spans="1:4" ht="15.75" customHeight="1" x14ac:dyDescent="0.15">
      <c r="A19" s="5" t="s">
        <v>18</v>
      </c>
      <c r="B19" s="6" t="str">
        <f ca="1">IFERROR(__xludf.DUMMYFUNCTION("""COMPUTED_VALUE"""),"N/A")</f>
        <v>N/A</v>
      </c>
      <c r="C19" s="6"/>
      <c r="D19" s="6"/>
    </row>
    <row r="20" spans="1:4" ht="15.75" customHeight="1" x14ac:dyDescent="0.15">
      <c r="A20" s="5" t="s">
        <v>19</v>
      </c>
      <c r="B20" s="6"/>
      <c r="C20" s="6"/>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0" t="str">
        <f ca="1">IFERROR(__xludf.DUMMYFUNCTION("IMPORTRANGE(""https://docs.google.com/spreadsheets/d/1K_SrfyQXDNcl5UVETvGMAvEDUHr5HCmSgfuNiyo2M-k"", ""S4!B1:B22"")"),"Korie Hall")</f>
        <v>Korie Hall</v>
      </c>
      <c r="C1" s="11" t="str">
        <f ca="1">IFERROR(__xludf.DUMMYFUNCTION("IMPORTRANGE(""https://docs.google.com/spreadsheets/d/118rN356SVQ9wRlO8Wn-8gpg7SdHsE4vm-XldkW2-iEo"", ""S4!B1:B22"")"),"McKinzie Novak")</f>
        <v>McKinzie Novak</v>
      </c>
      <c r="D1" s="2" t="s">
        <v>0</v>
      </c>
    </row>
    <row r="2" spans="1:4" ht="15.75" customHeight="1" x14ac:dyDescent="0.15">
      <c r="A2" s="3" t="s">
        <v>1</v>
      </c>
      <c r="B2" s="4" t="str">
        <f ca="1">IFERROR(__xludf.DUMMYFUNCTION("""COMPUTED_VALUE"""),"Start: 940")</f>
        <v>Start: 940</v>
      </c>
      <c r="C2" s="4" t="str">
        <f ca="1">IFERROR(__xludf.DUMMYFUNCTION("""COMPUTED_VALUE"""),"START: 940
STOP: 1338
FORWARD")</f>
        <v>START: 940
STOP: 1338
FORWARD</v>
      </c>
      <c r="D2" s="4"/>
    </row>
    <row r="3" spans="1:4" ht="15.75" customHeight="1" x14ac:dyDescent="0.15">
      <c r="A3" s="5" t="s">
        <v>2</v>
      </c>
      <c r="B3" s="6" t="str">
        <f ca="1">IFERROR(__xludf.DUMMYFUNCTION("""COMPUTED_VALUE"""),"DNA Master: Gene 3")</f>
        <v>DNA Master: Gene 3</v>
      </c>
      <c r="C3" s="6" t="str">
        <f ca="1">IFERROR(__xludf.DUMMYFUNCTION("""COMPUTED_VALUE"""),"DNAM: 3
PHAM: 4
Phagesdb: 4")</f>
        <v>DNAM: 3
PHAM: 4
Phagesdb: 4</v>
      </c>
      <c r="D3" s="6"/>
    </row>
    <row r="4" spans="1:4" ht="15.75" customHeight="1" x14ac:dyDescent="0.15">
      <c r="A4" s="5" t="s">
        <v>3</v>
      </c>
      <c r="B4" s="6">
        <f ca="1">IFERROR(__xludf.DUMMYFUNCTION("""COMPUTED_VALUE"""),28108)</f>
        <v>28108</v>
      </c>
      <c r="C4" s="6" t="str">
        <f ca="1">IFERROR(__xludf.DUMMYFUNCTION("""COMPUTED_VALUE"""),"#28108  4/2/25")</f>
        <v>#28108  4/2/25</v>
      </c>
      <c r="D4" s="6"/>
    </row>
    <row r="5" spans="1:4" ht="15.75" customHeight="1" x14ac:dyDescent="0.15">
      <c r="A5" s="5" t="s">
        <v>4</v>
      </c>
      <c r="B5" s="6" t="str">
        <f ca="1">IFERROR(__xludf.DUMMYFUNCTION("""COMPUTED_VALUE"""),"Nandita_4")</f>
        <v>Nandita_4</v>
      </c>
      <c r="C5" s="6" t="str">
        <f ca="1">IFERROR(__xludf.DUMMYFUNCTION("""COMPUTED_VALUE"""),"QuinnAvery #4 Nandita #4")</f>
        <v>QuinnAvery #4 Nandita #4</v>
      </c>
      <c r="D5" s="6"/>
    </row>
    <row r="6" spans="1:4" ht="15.75" customHeight="1" x14ac:dyDescent="0.15">
      <c r="A6" s="5" t="s">
        <v>5</v>
      </c>
      <c r="B6" s="6" t="str">
        <f ca="1">IFERROR(__xludf.DUMMYFUNCTION("""COMPUTED_VALUE"""),"Glimmer and GeneMark call @940")</f>
        <v>Glimmer and GeneMark call @940</v>
      </c>
      <c r="C6" s="6" t="str">
        <f ca="1">IFERROR(__xludf.DUMMYFUNCTION("""COMPUTED_VALUE"""),"Glimmer and Genemark both call start 940")</f>
        <v>Glimmer and Genemark both call start 940</v>
      </c>
      <c r="D6" s="6"/>
    </row>
    <row r="7" spans="1:4" ht="15.75" customHeight="1" x14ac:dyDescent="0.15">
      <c r="A7" s="5" t="s">
        <v>6</v>
      </c>
      <c r="B7" s="6" t="str">
        <f ca="1">IFERROR(__xludf.DUMMYFUNCTION("""COMPUTED_VALUE"""),"Gene catches all good coding potential")</f>
        <v>Gene catches all good coding potential</v>
      </c>
      <c r="C7" s="6" t="str">
        <f ca="1">IFERROR(__xludf.DUMMYFUNCTION("""COMPUTED_VALUE"""),"There is decent coding potential, but it is lacking at the front of the gene. Yes, there's not a whole lot of coding potential to be caught at the front however. ")</f>
        <v xml:space="preserve">There is decent coding potential, but it is lacking at the front of the gene. Yes, there's not a whole lot of coding potential to be caught at the front however. </v>
      </c>
      <c r="D7" s="6"/>
    </row>
    <row r="8" spans="1:4" ht="15.75" customHeight="1" x14ac:dyDescent="0.15">
      <c r="A8" s="5" t="s">
        <v>7</v>
      </c>
      <c r="B8" s="6" t="str">
        <f ca="1">IFERROR(__xludf.DUMMYFUNCTION("""COMPUTED_VALUE"""),"Yes")</f>
        <v>Yes</v>
      </c>
      <c r="C8" s="6" t="str">
        <f ca="1">IFERROR(__xludf.DUMMYFUNCTION("""COMPUTED_VALUE"""),"Yes, this is the longest open reading frame")</f>
        <v>Yes, this is the longest open reading frame</v>
      </c>
      <c r="D8" s="6"/>
    </row>
    <row r="9" spans="1:4" ht="15.75" customHeight="1" x14ac:dyDescent="0.15">
      <c r="A9" s="5" t="s">
        <v>8</v>
      </c>
      <c r="B9" s="6" t="str">
        <f ca="1">IFERROR(__xludf.DUMMYFUNCTION("""COMPUTED_VALUE"""),"No bp overlap of gap")</f>
        <v>No bp overlap of gap</v>
      </c>
      <c r="C9" s="6" t="str">
        <f ca="1">IFERROR(__xludf.DUMMYFUNCTION("""COMPUTED_VALUE"""),"There is a gap of 101 between this gene and the previous tRNA")</f>
        <v>There is a gap of 101 between this gene and the previous tRNA</v>
      </c>
      <c r="D9" s="6"/>
    </row>
    <row r="10" spans="1:4" ht="15.75" customHeight="1" x14ac:dyDescent="0.15">
      <c r="A10" s="5" t="s">
        <v>9</v>
      </c>
      <c r="B10" s="6" t="str">
        <f ca="1">IFERROR(__xludf.DUMMYFUNCTION("""COMPUTED_VALUE"""),"Z-score: 2.410")</f>
        <v>Z-score: 2.410</v>
      </c>
      <c r="C10" s="6" t="str">
        <f ca="1">IFERROR(__xludf.DUMMYFUNCTION("""COMPUTED_VALUE"""),"Start: 940 z-score: 2.14 rbs:-4.31")</f>
        <v>Start: 940 z-score: 2.14 rbs:-4.31</v>
      </c>
      <c r="D10" s="6"/>
    </row>
    <row r="11" spans="1:4" ht="15.75" customHeight="1" x14ac:dyDescent="0.15">
      <c r="A11" s="5" t="s">
        <v>10</v>
      </c>
      <c r="B11" s="6" t="str">
        <f ca="1">IFERROR(__xludf.DUMMYFUNCTION("""COMPUTED_VALUE"""),"QuinnAvery_4 - % identity: 96.2% / e-value: 3e-85 / q1:s1 ")</f>
        <v xml:space="preserve">QuinnAvery_4 - % identity: 96.2% / e-value: 3e-85 / q1:s1 </v>
      </c>
      <c r="C11" s="6" t="str">
        <f ca="1">IFERROR(__xludf.DUMMYFUNCTION("""COMPUTED_VALUE"""),"QuinAvery-4 %ID:96.2 e-val:0.0e0 
Q:1 S:1
Nandita #4 %ID:96.2 e-val:0.0e0 Q:1 S:1")</f>
        <v>QuinAvery-4 %ID:96.2 e-val:0.0e0 
Q:1 S:1
Nandita #4 %ID:96.2 e-val:0.0e0 Q:1 S:1</v>
      </c>
      <c r="D11" s="6"/>
    </row>
    <row r="12" spans="1:4" ht="15.75" customHeight="1" x14ac:dyDescent="0.15">
      <c r="A12" s="5" t="s">
        <v>11</v>
      </c>
      <c r="B12" s="6" t="str">
        <f ca="1">IFERROR(__xludf.DUMMYFUNCTION("""COMPUTED_VALUE"""),"Called in 18 of 18 members in the pham")</f>
        <v>Called in 18 of 18 members in the pham</v>
      </c>
      <c r="C12" s="6" t="str">
        <f ca="1">IFERROR(__xludf.DUMMYFUNCTION("""COMPUTED_VALUE"""),"yes, this start is conserved in all members of the listed family and all phages in starterator for that matter. #1 called 100% of the time.")</f>
        <v>yes, this start is conserved in all members of the listed family and all phages in starterator for that matter. #1 called 100% of the time.</v>
      </c>
      <c r="D12" s="6"/>
    </row>
    <row r="13" spans="1:4" ht="15.75" customHeight="1" x14ac:dyDescent="0.15">
      <c r="A13" s="5" t="s">
        <v>12</v>
      </c>
      <c r="B13" s="6" t="str">
        <f ca="1">IFERROR(__xludf.DUMMYFUNCTION("""COMPUTED_VALUE"""),"Start codon should remain as is. No other pssoible ORF and gene catches all coding potential")</f>
        <v>Start codon should remain as is. No other pssoible ORF and gene catches all coding potential</v>
      </c>
      <c r="C13" s="6" t="str">
        <f ca="1">IFERROR(__xludf.DUMMYFUNCTION("""COMPUTED_VALUE"""),"no starterator conserves the start, and the z-score is one of the highest, also changing the start would cut out coding potential.")</f>
        <v>no starterator conserves the start, and the z-score is one of the highest, also changing the start would cut out coding potential.</v>
      </c>
      <c r="D13" s="6"/>
    </row>
    <row r="14" spans="1:4" ht="15.75" customHeight="1" x14ac:dyDescent="0.15">
      <c r="A14" s="5" t="s">
        <v>13</v>
      </c>
      <c r="B14" s="6" t="str">
        <f ca="1">IFERROR(__xludf.DUMMYFUNCTION("""COMPUTED_VALUE"""),"Nandita_4 - e-value: 2e-68")</f>
        <v>Nandita_4 - e-value: 2e-68</v>
      </c>
      <c r="C14" s="6" t="str">
        <f ca="1">IFERROR(__xludf.DUMMYFUNCTION("""COMPUTED_VALUE"""),"QuinnAvery #4 e-val:0.0e0
Nandita #4 e-val:0.0e0")</f>
        <v>QuinnAvery #4 e-val:0.0e0
Nandita #4 e-val:0.0e0</v>
      </c>
      <c r="D14" s="6"/>
    </row>
    <row r="15" spans="1:4" ht="15.75" customHeight="1" x14ac:dyDescent="0.15">
      <c r="A15" s="5" t="s">
        <v>14</v>
      </c>
      <c r="B15" s="6" t="str">
        <f ca="1">IFERROR(__xludf.DUMMYFUNCTION("""COMPUTED_VALUE"""),"Nandita_4 - DNA Binding Protein")</f>
        <v>Nandita_4 - DNA Binding Protein</v>
      </c>
      <c r="C15" s="6" t="str">
        <f ca="1">IFERROR(__xludf.DUMMYFUNCTION("""COMPUTED_VALUE"""),"QuinnAvery #4 (helix-turn-helix DNA binding domain)
Nandita #4 (DNA binding protein)")</f>
        <v>QuinnAvery #4 (helix-turn-helix DNA binding domain)
Nandita #4 (DNA binding protein)</v>
      </c>
      <c r="D15" s="6"/>
    </row>
    <row r="16" spans="1:4" ht="15.75" customHeight="1" x14ac:dyDescent="0.15">
      <c r="A16" s="5" t="s">
        <v>15</v>
      </c>
      <c r="B16" s="6" t="str">
        <f ca="1">IFERROR(__xludf.DUMMYFUNCTION("""COMPUTED_VALUE"""),"Function would be as expected / adjacent to Nandita_4")</f>
        <v>Function would be as expected / adjacent to Nandita_4</v>
      </c>
      <c r="C16" s="6" t="str">
        <f ca="1">IFERROR(__xludf.DUMMYFUNCTION("""COMPUTED_VALUE"""),"Yes, the gene fits in its genetic environment very well with very good alignment and with an adjacent tRNA and an adjacent terminase large subunit to the right.")</f>
        <v>Yes, the gene fits in its genetic environment very well with very good alignment and with an adjacent tRNA and an adjacent terminase large subunit to the right.</v>
      </c>
      <c r="D16" s="6"/>
    </row>
    <row r="17" spans="1:4" ht="15.75" customHeight="1" x14ac:dyDescent="0.15">
      <c r="A17" s="5" t="s">
        <v>16</v>
      </c>
      <c r="B17" s="6" t="str">
        <f ca="1">IFERROR(__xludf.DUMMYFUNCTION("""COMPUTED_VALUE"""),"Putative transposase for insertion sequence element IS5376; DNA transposition, DNA integration, transposon, transpososom")</f>
        <v>Putative transposase for insertion sequence element IS5376; DNA transposition, DNA integration, transposon, transpososom</v>
      </c>
      <c r="C17" s="6" t="str">
        <f ca="1">IFERROR(__xludf.DUMMYFUNCTION("""COMPUTED_VALUE"""),"DESC: Putative transposase for insertion sequence element IS5376; DNA transposition, DNA integration, transposon, transpososom
%prob: 98.99
%ALT:24.9 %ALQ:70.5
Yes, the domain is in the target part of alignment for the helix-turn-helix domain.")</f>
        <v>DESC: Putative transposase for insertion sequence element IS5376; DNA transposition, DNA integration, transposon, transpososom
%prob: 98.99
%ALT:24.9 %ALQ:70.5
Yes, the domain is in the target part of alignment for the helix-turn-helix domain.</v>
      </c>
      <c r="D17" s="6"/>
    </row>
    <row r="18" spans="1:4" ht="15.75" customHeight="1" x14ac:dyDescent="0.15">
      <c r="A18" s="5" t="s">
        <v>17</v>
      </c>
      <c r="B18" s="6" t="str">
        <f ca="1">IFERROR(__xludf.DUMMYFUNCTION("""COMPUTED_VALUE"""),"transpos_IS21")</f>
        <v>transpos_IS21</v>
      </c>
      <c r="C18" s="6" t="str">
        <f ca="1">IFERROR(__xludf.DUMMYFUNCTION("""COMPUTED_VALUE"""),"Phamerator finds the domain IS21 family transposase in this gene.")</f>
        <v>Phamerator finds the domain IS21 family transposase in this gene.</v>
      </c>
      <c r="D18" s="6"/>
    </row>
    <row r="19" spans="1:4" ht="15.75" customHeight="1" x14ac:dyDescent="0.15">
      <c r="A19" s="5" t="s">
        <v>18</v>
      </c>
      <c r="B19" s="6" t="str">
        <f ca="1">IFERROR(__xludf.DUMMYFUNCTION("""COMPUTED_VALUE"""),"No membrane proteins identified")</f>
        <v>No membrane proteins identified</v>
      </c>
      <c r="C19" s="6" t="str">
        <f ca="1">IFERROR(__xludf.DUMMYFUNCTION("""COMPUTED_VALUE"""),"None - inside")</f>
        <v>None - inside</v>
      </c>
      <c r="D19" s="6"/>
    </row>
    <row r="20" spans="1:4" ht="15.75" customHeight="1" x14ac:dyDescent="0.15">
      <c r="A20" s="5" t="s">
        <v>19</v>
      </c>
      <c r="B20" s="6" t="str">
        <f ca="1">IFERROR(__xludf.DUMMYFUNCTION("""COMPUTED_VALUE"""),"Helix-Turn-Helix ( Rationale: Other members in the pham are eithera  DNA Binding Protein or Helix-Turn-Helix DNA Binding Domain. Data from HHpred, phagesdb, and NCBI back up this notion. )")</f>
        <v>Helix-Turn-Helix ( Rationale: Other members in the pham are eithera  DNA Binding Protein or Helix-Turn-Helix DNA Binding Domain. Data from HHpred, phagesdb, and NCBI back up this notion. )</v>
      </c>
      <c r="C20" s="6" t="str">
        <f ca="1">IFERROR(__xludf.DUMMYFUNCTION("""COMPUTED_VALUE"""),"Helix-turn-helix DNA binding protein")</f>
        <v>Helix-turn-helix DNA binding protein</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0" t="str">
        <f ca="1">IFERROR(__xludf.DUMMYFUNCTION("IMPORTRANGE(""https://docs.google.com/spreadsheets/d/1K_SrfyQXDNcl5UVETvGMAvEDUHr5HCmSgfuNiyo2M-k"", ""S5!B1:B22"")"),"Korie Hall")</f>
        <v>Korie Hall</v>
      </c>
      <c r="C1" s="11" t="str">
        <f ca="1">IFERROR(__xludf.DUMMYFUNCTION("IMPORTRANGE(""https://docs.google.com/spreadsheets/d/1NBZgc2wQWlGwpwt7AcCySCDz0bod7B0VKf0lrtlBP8Q"", ""S5!B1:B22"")"),"Jackson Root")</f>
        <v>Jackson Root</v>
      </c>
      <c r="D1" s="2" t="s">
        <v>0</v>
      </c>
    </row>
    <row r="2" spans="1:4" ht="15.75" customHeight="1" x14ac:dyDescent="0.15">
      <c r="A2" s="3" t="s">
        <v>1</v>
      </c>
      <c r="B2" s="4" t="str">
        <f ca="1">IFERROR(__xludf.DUMMYFUNCTION("""COMPUTED_VALUE"""),"Start: 1335")</f>
        <v>Start: 1335</v>
      </c>
      <c r="C2" s="4" t="str">
        <f ca="1">IFERROR(__xludf.DUMMYFUNCTION("""COMPUTED_VALUE"""),"Start: 1335   Stop: 1973   Forward")</f>
        <v>Start: 1335   Stop: 1973   Forward</v>
      </c>
      <c r="D2" s="4"/>
    </row>
    <row r="3" spans="1:4" ht="15.75" customHeight="1" x14ac:dyDescent="0.15">
      <c r="A3" s="5" t="s">
        <v>2</v>
      </c>
      <c r="B3" s="6" t="str">
        <f ca="1">IFERROR(__xludf.DUMMYFUNCTION("""COMPUTED_VALUE"""),"DNA Master: Gene 4")</f>
        <v>DNA Master: Gene 4</v>
      </c>
      <c r="C3" s="6" t="str">
        <f ca="1">IFERROR(__xludf.DUMMYFUNCTION("""COMPUTED_VALUE"""),"DNA: 4  Pham: 5")</f>
        <v>DNA: 4  Pham: 5</v>
      </c>
      <c r="D3" s="6"/>
    </row>
    <row r="4" spans="1:4" ht="15.75" customHeight="1" x14ac:dyDescent="0.15">
      <c r="A4" s="5" t="s">
        <v>3</v>
      </c>
      <c r="B4" s="6">
        <f ca="1">IFERROR(__xludf.DUMMYFUNCTION("""COMPUTED_VALUE"""),87948)</f>
        <v>87948</v>
      </c>
      <c r="C4" s="6" t="str">
        <f ca="1">IFERROR(__xludf.DUMMYFUNCTION("""COMPUTED_VALUE""")," pham 87948   04/01/25")</f>
        <v xml:space="preserve"> pham 87948   04/01/25</v>
      </c>
      <c r="D4" s="6"/>
    </row>
    <row r="5" spans="1:4" ht="15.75" customHeight="1" x14ac:dyDescent="0.15">
      <c r="A5" s="5" t="s">
        <v>4</v>
      </c>
      <c r="B5" s="6" t="str">
        <f ca="1">IFERROR(__xludf.DUMMYFUNCTION("""COMPUTED_VALUE"""),"Nandita_5")</f>
        <v>Nandita_5</v>
      </c>
      <c r="C5" s="6" t="str">
        <f ca="1">IFERROR(__xludf.DUMMYFUNCTION("""COMPUTED_VALUE"""),"Nandita_5; Zaheer_5")</f>
        <v>Nandita_5; Zaheer_5</v>
      </c>
      <c r="D5" s="6"/>
    </row>
    <row r="6" spans="1:4" ht="15.75" customHeight="1" x14ac:dyDescent="0.15">
      <c r="A6" s="5" t="s">
        <v>5</v>
      </c>
      <c r="B6" s="6" t="str">
        <f ca="1">IFERROR(__xludf.DUMMYFUNCTION("""COMPUTED_VALUE"""),"Glimmer and GeneMark call @1335")</f>
        <v>Glimmer and GeneMark call @1335</v>
      </c>
      <c r="C6" s="6" t="str">
        <f ca="1">IFERROR(__xludf.DUMMYFUNCTION("""COMPUTED_VALUE"""),"Both called 1335")</f>
        <v>Both called 1335</v>
      </c>
      <c r="D6" s="6"/>
    </row>
    <row r="7" spans="1:4" ht="15.75" customHeight="1" x14ac:dyDescent="0.15">
      <c r="A7" s="5" t="s">
        <v>6</v>
      </c>
      <c r="B7" s="6" t="str">
        <f ca="1">IFERROR(__xludf.DUMMYFUNCTION("""COMPUTED_VALUE"""),"Gene has really good coding potential and all is included")</f>
        <v>Gene has really good coding potential and all is included</v>
      </c>
      <c r="C7" s="6" t="str">
        <f ca="1">IFERROR(__xludf.DUMMYFUNCTION("""COMPUTED_VALUE"""),"There is coding potential, all potential captured")</f>
        <v>There is coding potential, all potential captured</v>
      </c>
      <c r="D7" s="6"/>
    </row>
    <row r="8" spans="1:4" ht="15.75" customHeight="1" x14ac:dyDescent="0.15">
      <c r="A8" s="5" t="s">
        <v>7</v>
      </c>
      <c r="B8" s="6" t="str">
        <f ca="1">IFERROR(__xludf.DUMMYFUNCTION("""COMPUTED_VALUE"""),"No - there is one potential start codon but no extra coding potential would be included and it would lead to a large overlap with Gene 4")</f>
        <v>No - there is one potential start codon but no extra coding potential would be included and it would lead to a large overlap with Gene 4</v>
      </c>
      <c r="C8" s="6" t="str">
        <f ca="1">IFERROR(__xludf.DUMMYFUNCTION("""COMPUTED_VALUE"""),"no, theres a start much furhter upstream")</f>
        <v>no, theres a start much furhter upstream</v>
      </c>
      <c r="D8" s="6"/>
    </row>
    <row r="9" spans="1:4" ht="15.75" customHeight="1" x14ac:dyDescent="0.15">
      <c r="A9" s="5" t="s">
        <v>8</v>
      </c>
      <c r="B9" s="6" t="str">
        <f ca="1">IFERROR(__xludf.DUMMYFUNCTION("""COMPUTED_VALUE"""),"3 bp overlap with Gene 4")</f>
        <v>3 bp overlap with Gene 4</v>
      </c>
      <c r="C9" s="6" t="str">
        <f ca="1">IFERROR(__xludf.DUMMYFUNCTION("""COMPUTED_VALUE"""),"Overlap with gene #3: 3 bp")</f>
        <v>Overlap with gene #3: 3 bp</v>
      </c>
      <c r="D9" s="6"/>
    </row>
    <row r="10" spans="1:4" ht="15.75" customHeight="1" x14ac:dyDescent="0.15">
      <c r="A10" s="5" t="s">
        <v>9</v>
      </c>
      <c r="B10" s="6" t="str">
        <f ca="1">IFERROR(__xludf.DUMMYFUNCTION("""COMPUTED_VALUE"""),"Z-score: 2.165")</f>
        <v>Z-score: 2.165</v>
      </c>
      <c r="C10" s="6" t="str">
        <f ca="1">IFERROR(__xludf.DUMMYFUNCTION("""COMPUTED_VALUE"""),"Z-score: 2.165; Final: -4.257")</f>
        <v>Z-score: 2.165; Final: -4.257</v>
      </c>
      <c r="D10" s="6"/>
    </row>
    <row r="11" spans="1:4" ht="15.75" customHeight="1" x14ac:dyDescent="0.15">
      <c r="A11" s="5" t="s">
        <v>10</v>
      </c>
      <c r="B11" s="6" t="str">
        <f ca="1">IFERROR(__xludf.DUMMYFUNCTION("""COMPUTED_VALUE"""),"Nandita_5 - % identity: 99.5% / e-value: 3e-148 / q1:s1")</f>
        <v>Nandita_5 - % identity: 99.5% / e-value: 3e-148 / q1:s1</v>
      </c>
      <c r="C11" s="6" t="str">
        <f ca="1">IFERROR(__xludf.DUMMYFUNCTION("""COMPUTED_VALUE"""),"Nandita and QuinnAvery were best hits, % identity: ; E-val: 0.0e0; Q: 1-200; T: 1-200")</f>
        <v>Nandita and QuinnAvery were best hits, % identity: ; E-val: 0.0e0; Q: 1-200; T: 1-200</v>
      </c>
      <c r="D11" s="6"/>
    </row>
    <row r="12" spans="1:4" ht="15.75" customHeight="1" x14ac:dyDescent="0.15">
      <c r="A12" s="5" t="s">
        <v>11</v>
      </c>
      <c r="B12" s="6" t="str">
        <f ca="1">IFERROR(__xludf.DUMMYFUNCTION("""COMPUTED_VALUE"""),"Found in 18 of 18 members")</f>
        <v>Found in 18 of 18 members</v>
      </c>
      <c r="C12" s="6" t="str">
        <f ca="1">IFERROR(__xludf.DUMMYFUNCTION("""COMPUTED_VALUE"""),"Start conserved in all members, Start #2 called 100% when present")</f>
        <v>Start conserved in all members, Start #2 called 100% when present</v>
      </c>
      <c r="D12" s="6"/>
    </row>
    <row r="13" spans="1:4" ht="15.75" customHeight="1" x14ac:dyDescent="0.15">
      <c r="A13" s="5" t="s">
        <v>12</v>
      </c>
      <c r="B13" s="6" t="str">
        <f ca="1">IFERROR(__xludf.DUMMYFUNCTION("""COMPUTED_VALUE"""),"Start codon should remain as is. Moving would not gain any additional coding potential and create a bigger overlap between Gene 4")</f>
        <v>Start codon should remain as is. Moving would not gain any additional coding potential and create a bigger overlap between Gene 4</v>
      </c>
      <c r="C13" s="6" t="str">
        <f ca="1">IFERROR(__xludf.DUMMYFUNCTION("""COMPUTED_VALUE"""),"No start change")</f>
        <v>No start change</v>
      </c>
      <c r="D13" s="6"/>
    </row>
    <row r="14" spans="1:4" ht="15.75" customHeight="1" x14ac:dyDescent="0.15">
      <c r="A14" s="5" t="s">
        <v>13</v>
      </c>
      <c r="B14" s="6" t="str">
        <f ca="1">IFERROR(__xludf.DUMMYFUNCTION("""COMPUTED_VALUE"""),"Nandita_5 - e-value: e-116")</f>
        <v>Nandita_5 - e-value: e-116</v>
      </c>
      <c r="C14" s="6" t="str">
        <f ca="1">IFERROR(__xludf.DUMMYFUNCTION("""COMPUTED_VALUE"""),"GoodLuckBabe_Draft_5: e-116; Nandita_5: e-116")</f>
        <v>GoodLuckBabe_Draft_5: e-116; Nandita_5: e-116</v>
      </c>
      <c r="D14" s="6"/>
    </row>
    <row r="15" spans="1:4" ht="15.75" customHeight="1" x14ac:dyDescent="0.15">
      <c r="A15" s="5" t="s">
        <v>14</v>
      </c>
      <c r="B15" s="6" t="str">
        <f ca="1">IFERROR(__xludf.DUMMYFUNCTION("""COMPUTED_VALUE"""),"Terminase small subunit ")</f>
        <v xml:space="preserve">Terminase small subunit </v>
      </c>
      <c r="C15" s="6" t="str">
        <f ca="1">IFERROR(__xludf.DUMMYFUNCTION("""COMPUTED_VALUE"""),"Nandita: terminase small sub unit")</f>
        <v>Nandita: terminase small sub unit</v>
      </c>
      <c r="D15" s="6"/>
    </row>
    <row r="16" spans="1:4" ht="15.75" customHeight="1" x14ac:dyDescent="0.15">
      <c r="A16" s="5" t="s">
        <v>15</v>
      </c>
      <c r="B16" s="6" t="str">
        <f ca="1">IFERROR(__xludf.DUMMYFUNCTION("""COMPUTED_VALUE"""),"In alignment with Nandita_5 and function is as expected ")</f>
        <v xml:space="preserve">In alignment with Nandita_5 and function is as expected </v>
      </c>
      <c r="C16" s="6" t="str">
        <f ca="1">IFERROR(__xludf.DUMMYFUNCTION("""COMPUTED_VALUE"""),"Yes. found in same genetic environment as Nandita_5")</f>
        <v>Yes. found in same genetic environment as Nandita_5</v>
      </c>
      <c r="D16" s="6"/>
    </row>
    <row r="17" spans="1:4" ht="15.75" customHeight="1" x14ac:dyDescent="0.15">
      <c r="A17" s="5" t="s">
        <v>16</v>
      </c>
      <c r="B17" s="6" t="str">
        <f ca="1">IFERROR(__xludf.DUMMYFUNCTION("""COMPUTED_VALUE"""),"Terminase small subunit; genome packaging, bacteriophage, DNA binding, VIRAL PROTEIN; 1.4A {Enterobacteria phage HK97}")</f>
        <v>Terminase small subunit; genome packaging, bacteriophage, DNA binding, VIRAL PROTEIN; 1.4A {Enterobacteria phage HK97}</v>
      </c>
      <c r="C17" s="6" t="str">
        <f ca="1">IFERROR(__xludf.DUMMYFUNCTION("""COMPUTED_VALUE"""),"Best hits were terminase small sub units; Prob: 99.61%; %Q: 45.2%; %T: 60%; function not in alignment")</f>
        <v>Best hits were terminase small sub units; Prob: 99.61%; %Q: 45.2%; %T: 60%; function not in alignment</v>
      </c>
      <c r="D17" s="6"/>
    </row>
    <row r="18" spans="1:4" ht="15.75" customHeight="1" x14ac:dyDescent="0.15">
      <c r="A18" s="5" t="s">
        <v>17</v>
      </c>
      <c r="B18" s="6" t="str">
        <f ca="1">IFERROR(__xludf.DUMMYFUNCTION("""COMPUTED_VALUE"""),"Terminase_4")</f>
        <v>Terminase_4</v>
      </c>
      <c r="C18" s="6" t="str">
        <f ca="1">IFERROR(__xludf.DUMMYFUNCTION("""COMPUTED_VALUE"""),"Conserved domain identified")</f>
        <v>Conserved domain identified</v>
      </c>
      <c r="D18" s="6"/>
    </row>
    <row r="19" spans="1:4" ht="15.75" customHeight="1" x14ac:dyDescent="0.15">
      <c r="A19" s="5" t="s">
        <v>18</v>
      </c>
      <c r="B19" s="6" t="str">
        <f ca="1">IFERROR(__xludf.DUMMYFUNCTION("""COMPUTED_VALUE"""),"No membrane protein identified ")</f>
        <v xml:space="preserve">No membrane protein identified </v>
      </c>
      <c r="C19" s="6" t="str">
        <f ca="1">IFERROR(__xludf.DUMMYFUNCTION("""COMPUTED_VALUE"""),"not a membrane protien, most likely inside the membrane")</f>
        <v>not a membrane protien, most likely inside the membrane</v>
      </c>
      <c r="D19" s="6"/>
    </row>
    <row r="20" spans="1:4" ht="15.75" customHeight="1" x14ac:dyDescent="0.15">
      <c r="A20" s="5" t="s">
        <v>19</v>
      </c>
      <c r="B20" s="6" t="str">
        <f ca="1">IFERROR(__xludf.DUMMYFUNCTION("""COMPUTED_VALUE"""),"Terminase Small Subunit ( Rationale: Solid matches on HHpred, phagesdb, and NCBI Blast; identified members in the pham serve as a terminase small subunit ")</f>
        <v xml:space="preserve">Terminase Small Subunit ( Rationale: Solid matches on HHpred, phagesdb, and NCBI Blast; identified members in the pham serve as a terminase small subunit </v>
      </c>
      <c r="C20" s="6" t="str">
        <f ca="1">IFERROR(__xludf.DUMMYFUNCTION("""COMPUTED_VALUE"""),"terminase, small subunit; the function is conserved throughout all the hits in NCBI and HHpres also had good terminase hits, and as Nandita is also called a small terminase subunit, its likely that Schism is the same")</f>
        <v>terminase, small subunit; the function is conserved throughout all the hits in NCBI and HHpres also had good terminase hits, and as Nandita is also called a small terminase subunit, its likely that Schism is the same</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IFERROR(__xludf.DUMMYFUNCTION("IMPORTRANGE(""https://docs.google.com/spreadsheets/d/1JcP72URjln8m_02QQGZH43HhxTMRpkReW-wbnKU8b-0"", ""S6!B1:B22"")"),"Josiah Bolton")</f>
        <v>Josiah Bolton</v>
      </c>
      <c r="C1" s="11" t="str">
        <f ca="1">IFERROR(__xludf.DUMMYFUNCTION("IMPORTRANGE(""https://docs.google.com/spreadsheets/d/12D2a8_yN9-M20Swe1qSSTzsOdHwl9WpMkqw3nyC2tRc"", ""S6!B1:B22"")"),"Noelle Labadens")</f>
        <v>Noelle Labadens</v>
      </c>
      <c r="D1" s="2" t="s">
        <v>0</v>
      </c>
    </row>
    <row r="2" spans="1:4" ht="15.75" customHeight="1" x14ac:dyDescent="0.15">
      <c r="A2" s="3" t="s">
        <v>1</v>
      </c>
      <c r="B2" s="4" t="str">
        <f ca="1">IFERROR(__xludf.DUMMYFUNCTION("""COMPUTED_VALUE"""),"1957-3657 FOR")</f>
        <v>1957-3657 FOR</v>
      </c>
      <c r="C2" s="4" t="str">
        <f ca="1">IFERROR(__xludf.DUMMYFUNCTION("""COMPUTED_VALUE"""),"1957-3657 FOR")</f>
        <v>1957-3657 FOR</v>
      </c>
      <c r="D2" s="4"/>
    </row>
    <row r="3" spans="1:4" ht="15.75" customHeight="1" x14ac:dyDescent="0.15">
      <c r="A3" s="5" t="s">
        <v>2</v>
      </c>
      <c r="B3" s="6" t="str">
        <f ca="1">IFERROR(__xludf.DUMMYFUNCTION("""COMPUTED_VALUE"""),"6 on Phamerator
5 in DNA Master/PECAAN")</f>
        <v>6 on Phamerator
5 in DNA Master/PECAAN</v>
      </c>
      <c r="C3" s="6" t="str">
        <f ca="1">IFERROR(__xludf.DUMMYFUNCTION("""COMPUTED_VALUE"""),"DNA Master: 5; Phamerator: 6")</f>
        <v>DNA Master: 5; Phamerator: 6</v>
      </c>
      <c r="D3" s="6"/>
    </row>
    <row r="4" spans="1:4" ht="15.75" customHeight="1" x14ac:dyDescent="0.15">
      <c r="A4" s="5" t="s">
        <v>3</v>
      </c>
      <c r="B4" s="6" t="str">
        <f ca="1">IFERROR(__xludf.DUMMYFUNCTION("""COMPUTED_VALUE"""),"224114 3/31/2025")</f>
        <v>224114 3/31/2025</v>
      </c>
      <c r="C4" s="6" t="str">
        <f ca="1">IFERROR(__xludf.DUMMYFUNCTION("""COMPUTED_VALUE"""),"pham 224114 3/31/25")</f>
        <v>pham 224114 3/31/25</v>
      </c>
      <c r="D4" s="6"/>
    </row>
    <row r="5" spans="1:4" ht="15.75" customHeight="1" x14ac:dyDescent="0.15">
      <c r="A5" s="5" t="s">
        <v>4</v>
      </c>
      <c r="B5" s="6" t="str">
        <f ca="1">IFERROR(__xludf.DUMMYFUNCTION("""COMPUTED_VALUE"""),"Nandita 6")</f>
        <v>Nandita 6</v>
      </c>
      <c r="C5" s="6" t="str">
        <f ca="1">IFERROR(__xludf.DUMMYFUNCTION("""COMPUTED_VALUE"""),"Nandita_6, Guinevere_6")</f>
        <v>Nandita_6, Guinevere_6</v>
      </c>
      <c r="D5" s="6"/>
    </row>
    <row r="6" spans="1:4" ht="15.75" customHeight="1" x14ac:dyDescent="0.15">
      <c r="A6" s="5" t="s">
        <v>5</v>
      </c>
      <c r="B6" s="6" t="str">
        <f ca="1">IFERROR(__xludf.DUMMYFUNCTION("""COMPUTED_VALUE"""),"Both call and support.")</f>
        <v>Both call and support.</v>
      </c>
      <c r="C6" s="6" t="str">
        <f ca="1">IFERROR(__xludf.DUMMYFUNCTION("""COMPUTED_VALUE"""),"Glimmer call at 1957. Genemark calls start at 1936.")</f>
        <v>Glimmer call at 1957. Genemark calls start at 1936.</v>
      </c>
      <c r="D6" s="6"/>
    </row>
    <row r="7" spans="1:4" ht="15.75" customHeight="1" x14ac:dyDescent="0.15">
      <c r="A7" s="5" t="s">
        <v>6</v>
      </c>
      <c r="B7" s="6" t="str">
        <f ca="1">IFERROR(__xludf.DUMMYFUNCTION("""COMPUTED_VALUE"""),"Has great coding potential and all is captured.")</f>
        <v>Has great coding potential and all is captured.</v>
      </c>
      <c r="C7" s="6" t="str">
        <f ca="1">IFERROR(__xludf.DUMMYFUNCTION("""COMPUTED_VALUE"""),"decent coding potential, gets a little wonky at the end. does not capture whole gene, some of the begging and end are not included.")</f>
        <v>decent coding potential, gets a little wonky at the end. does not capture whole gene, some of the begging and end are not included.</v>
      </c>
      <c r="D7" s="6"/>
    </row>
    <row r="8" spans="1:4" ht="15.75" customHeight="1" x14ac:dyDescent="0.15">
      <c r="A8" s="5" t="s">
        <v>7</v>
      </c>
      <c r="B8" s="6" t="str">
        <f ca="1">IFERROR(__xludf.DUMMYFUNCTION("""COMPUTED_VALUE"""),"Not longest ORF. Probably the ORF that misses coding potential.")</f>
        <v>Not longest ORF. Probably the ORF that misses coding potential.</v>
      </c>
      <c r="C8" s="6" t="str">
        <f ca="1">IFERROR(__xludf.DUMMYFUNCTION("""COMPUTED_VALUE"""),"no, start at 1900 and 1936")</f>
        <v>no, start at 1900 and 1936</v>
      </c>
      <c r="D8" s="6"/>
    </row>
    <row r="9" spans="1:4" ht="15.75" customHeight="1" x14ac:dyDescent="0.15">
      <c r="A9" s="5" t="s">
        <v>8</v>
      </c>
      <c r="B9" s="6" t="str">
        <f ca="1">IFERROR(__xludf.DUMMYFUNCTION("""COMPUTED_VALUE"""),"A 16 nucleotide bp overlap.")</f>
        <v>A 16 nucleotide bp overlap.</v>
      </c>
      <c r="C9" s="6" t="str">
        <f ca="1">IFERROR(__xludf.DUMMYFUNCTION("""COMPUTED_VALUE"""),"16 nt overlap")</f>
        <v>16 nt overlap</v>
      </c>
      <c r="D9" s="6"/>
    </row>
    <row r="10" spans="1:4" ht="15.75" customHeight="1" x14ac:dyDescent="0.15">
      <c r="A10" s="5" t="s">
        <v>9</v>
      </c>
      <c r="B10" s="6" t="str">
        <f ca="1">IFERROR(__xludf.DUMMYFUNCTION("""COMPUTED_VALUE"""),"Z score is 2.542 and final score is -3.493. There is another start at 1936 with a z score of 2.582 and final score of -4.000")</f>
        <v>Z score is 2.542 and final score is -3.493. There is another start at 1936 with a z score of 2.582 and final score of -4.000</v>
      </c>
      <c r="C10" s="6" t="str">
        <f ca="1">IFERROR(__xludf.DUMMYFUNCTION("""COMPUTED_VALUE"""),"z score: 2.558. both of the earlier starts have good z scores as well. none of the other later starts have good z scores.")</f>
        <v>z score: 2.558. both of the earlier starts have good z scores as well. none of the other later starts have good z scores.</v>
      </c>
      <c r="D10" s="6"/>
    </row>
    <row r="11" spans="1:4" ht="15.75" customHeight="1" x14ac:dyDescent="0.15">
      <c r="A11" s="5" t="s">
        <v>10</v>
      </c>
      <c r="B11" s="6" t="str">
        <f ca="1">IFERROR(__xludf.DUMMYFUNCTION("""COMPUTED_VALUE"""),"Nandita 6 with 99.82% identity and e value 0e0. q1:s1")</f>
        <v>Nandita 6 with 99.82% identity and e value 0e0. q1:s1</v>
      </c>
      <c r="C11" s="6" t="str">
        <f ca="1">IFERROR(__xludf.DUMMYFUNCTION("""COMPUTED_VALUE"""),"Nandita_6, 99%, 0.0 q:1 s:1; Guinevere_6, 99%, 0.0 q:1 s:1; has a lot of great matches")</f>
        <v>Nandita_6, 99%, 0.0 q:1 s:1; Guinevere_6, 99%, 0.0 q:1 s:1; has a lot of great matches</v>
      </c>
      <c r="D11" s="6"/>
    </row>
    <row r="12" spans="1:4" ht="15.75" customHeight="1" x14ac:dyDescent="0.15">
      <c r="A12" s="5" t="s">
        <v>11</v>
      </c>
      <c r="B12" s="6" t="str">
        <f ca="1">IFERROR(__xludf.DUMMYFUNCTION("""COMPUTED_VALUE"""),"Start 116 is conserved and is called 85.7% of the time when present.")</f>
        <v>Start 116 is conserved and is called 85.7% of the time when present.</v>
      </c>
      <c r="C12" s="6" t="str">
        <f ca="1">IFERROR(__xludf.DUMMYFUNCTION("""COMPUTED_VALUE"""),"no, called 85.7% of the time when present. All FF clusters including Guinevere and Nandita.")</f>
        <v>no, called 85.7% of the time when present. All FF clusters including Guinevere and Nandita.</v>
      </c>
      <c r="D12" s="6"/>
    </row>
    <row r="13" spans="1:4" ht="15.75" customHeight="1" x14ac:dyDescent="0.15">
      <c r="A13" s="5" t="s">
        <v>12</v>
      </c>
      <c r="B13" s="6" t="str">
        <f ca="1">IFERROR(__xludf.DUMMYFUNCTION("""COMPUTED_VALUE"""),"No start change because a bigger overlap would be created and some coding potential might be not found at that start.")</f>
        <v>No start change because a bigger overlap would be created and some coding potential might be not found at that start.</v>
      </c>
      <c r="C13" s="6" t="str">
        <f ca="1">IFERROR(__xludf.DUMMYFUNCTION("""COMPUTED_VALUE"""),"no. even though the coding isn't the greatest and there are other good z scores in the earlier starts, moving it would create a larger overlap and it would break the synteny with the blast matches. ")</f>
        <v xml:space="preserve">no. even though the coding isn't the greatest and there are other good z scores in the earlier starts, moving it would create a larger overlap and it would break the synteny with the blast matches. </v>
      </c>
      <c r="D13" s="6"/>
    </row>
    <row r="14" spans="1:4" ht="15.75" customHeight="1" x14ac:dyDescent="0.15">
      <c r="A14" s="5" t="s">
        <v>13</v>
      </c>
      <c r="B14" s="6" t="str">
        <f ca="1">IFERROR(__xludf.DUMMYFUNCTION("""COMPUTED_VALUE"""),"Nandita 6 evalue is 0e0.")</f>
        <v>Nandita 6 evalue is 0e0.</v>
      </c>
      <c r="C14" s="6" t="str">
        <f ca="1">IFERROR(__xludf.DUMMYFUNCTION("""COMPUTED_VALUE"""),"Nandita_6 0.0, Guinevere_6 0.0")</f>
        <v>Nandita_6 0.0, Guinevere_6 0.0</v>
      </c>
      <c r="D14" s="6"/>
    </row>
    <row r="15" spans="1:4" ht="15.75" customHeight="1" x14ac:dyDescent="0.15">
      <c r="A15" s="5" t="s">
        <v>14</v>
      </c>
      <c r="B15" s="6" t="str">
        <f ca="1">IFERROR(__xludf.DUMMYFUNCTION("""COMPUTED_VALUE"""),"Nandita 6 is a terminase large subunit.")</f>
        <v>Nandita 6 is a terminase large subunit.</v>
      </c>
      <c r="C15" s="6" t="str">
        <f ca="1">IFERROR(__xludf.DUMMYFUNCTION("""COMPUTED_VALUE"""),"terminase large subunit - Nandita_6")</f>
        <v>terminase large subunit - Nandita_6</v>
      </c>
      <c r="D15" s="6"/>
    </row>
    <row r="16" spans="1:4" ht="15.75" customHeight="1" x14ac:dyDescent="0.15">
      <c r="A16" s="5" t="s">
        <v>15</v>
      </c>
      <c r="B16" s="6" t="str">
        <f ca="1">IFERROR(__xludf.DUMMYFUNCTION("""COMPUTED_VALUE"""),"Synteny would be expected with schism related to Nandita 6.")</f>
        <v>Synteny would be expected with schism related to Nandita 6.</v>
      </c>
      <c r="C16" s="6" t="str">
        <f ca="1">IFERROR(__xludf.DUMMYFUNCTION("""COMPUTED_VALUE"""),"good synteny, all genes to be expected")</f>
        <v>good synteny, all genes to be expected</v>
      </c>
      <c r="D16" s="6"/>
    </row>
    <row r="17" spans="1:4" ht="15.75" customHeight="1" x14ac:dyDescent="0.15">
      <c r="A17" s="5" t="s">
        <v>16</v>
      </c>
      <c r="B17" s="6" t="str">
        <f ca="1">IFERROR(__xludf.DUMMYFUNCTION("""COMPUTED_VALUE"""),"Terminase large subunit; genome packaging, bacteriophage, ATPase, nuclease, VIRAL PROTEIN; HET: BR; 2.2A {Enterobacteria phage HK97} Probability is 100% % alignment of query is 76.86% and % alignment of target is 84.63% The functional domain is in the tar"&amp;"get part of alignment.")</f>
        <v>Terminase large subunit; genome packaging, bacteriophage, ATPase, nuclease, VIRAL PROTEIN; HET: BR; 2.2A {Enterobacteria phage HK97} Probability is 100% % alignment of query is 76.86% and % alignment of target is 84.63% The functional domain is in the target part of alignment.</v>
      </c>
      <c r="C17" s="6" t="str">
        <f ca="1">IFERROR(__xludf.DUMMYFUNCTION("""COMPUTED_VALUE"""),"Terminase large subunit; genome packaging, bacteriophage, ATPase, nuclease, VIRAL PROTEIN; HET: BR; 2.2A {Enterobacteria; 100%; q: 76.86%; t:84.63%. good alignment.")</f>
        <v>Terminase large subunit; genome packaging, bacteriophage, ATPase, nuclease, VIRAL PROTEIN; HET: BR; 2.2A {Enterobacteria; 100%; q: 76.86%; t:84.63%. good alignment.</v>
      </c>
      <c r="D17" s="6"/>
    </row>
    <row r="18" spans="1:4" ht="15.75" customHeight="1" x14ac:dyDescent="0.15">
      <c r="A18" s="5" t="s">
        <v>17</v>
      </c>
      <c r="B18" s="6" t="str">
        <f ca="1">IFERROR(__xludf.DUMMYFUNCTION("""COMPUTED_VALUE"""),"Terminase
Protein Alignment Data:
Query Start (Amino Acid Position): 56
Query End (Amino Acid Position): 245
E-Value: 0.0000107759
COG4626
Protein Alignment Data:
Query Start (Amino Acid Position): 51
Query End (Amino Acid Position): 527
E-Value: 2."&amp;"42775e-10")</f>
        <v>Terminase
Protein Alignment Data:
Query Start (Amino Acid Position): 56
Query End (Amino Acid Position): 245
E-Value: 0.0000107759
COG4626
Protein Alignment Data:
Query Start (Amino Acid Position): 51
Query End (Amino Acid Position): 527
E-Value: 2.42775e-10</v>
      </c>
      <c r="C18" s="6" t="str">
        <f ca="1">IFERROR(__xludf.DUMMYFUNCTION("""COMPUTED_VALUE"""),"terminase_1 and COG4626")</f>
        <v>terminase_1 and COG4626</v>
      </c>
      <c r="D18" s="6"/>
    </row>
    <row r="19" spans="1:4" ht="15.75" customHeight="1" x14ac:dyDescent="0.15">
      <c r="A19" s="5" t="s">
        <v>18</v>
      </c>
      <c r="B19" s="6" t="str">
        <f ca="1">IFERROR(__xludf.DUMMYFUNCTION("""COMPUTED_VALUE"""),"None")</f>
        <v>None</v>
      </c>
      <c r="C19" s="6" t="str">
        <f ca="1">IFERROR(__xludf.DUMMYFUNCTION("""COMPUTED_VALUE"""),"none")</f>
        <v>none</v>
      </c>
      <c r="D19" s="6"/>
    </row>
    <row r="20" spans="1:4" ht="15.75" customHeight="1" x14ac:dyDescent="0.15">
      <c r="A20" s="5" t="s">
        <v>19</v>
      </c>
      <c r="B20" s="6" t="str">
        <f ca="1">IFERROR(__xludf.DUMMYFUNCTION("""COMPUTED_VALUE"""),"Terminase, large subunit due to the information and alignment with Nandita 6. HHPred, NCBI blasts and PhagesDB help support that this call is a terminase.")</f>
        <v>Terminase, large subunit due to the information and alignment with Nandita 6. HHPred, NCBI blasts and PhagesDB help support that this call is a terminase.</v>
      </c>
      <c r="C20" s="6" t="str">
        <f ca="1">IFERROR(__xludf.DUMMYFUNCTION("""COMPUTED_VALUE"""),"Terminase Large Subunit. Nandita calls it and hhpred confirms it")</f>
        <v>Terminase Large Subunit. Nandita calls it and hhpred confirms it</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IFERROR(__xludf.DUMMYFUNCTION("IMPORTRANGE(""https://docs.google.com/spreadsheets/d/1lnhM27PotbG3sLgv1l-Z-v-YjCyKJ0DlymQrusc2STA"", ""S7!B1:B22"")"),"Layla Baldwin")</f>
        <v>Layla Baldwin</v>
      </c>
      <c r="C1" s="11" t="str">
        <f ca="1">IFERROR(__xludf.DUMMYFUNCTION("IMPORTRANGE(""https://docs.google.com/spreadsheets/d/118rN356SVQ9wRlO8Wn-8gpg7SdHsE4vm-XldkW2-iEo"", ""S7!B1:B22"")"),"McKinzie Novak")</f>
        <v>McKinzie Novak</v>
      </c>
      <c r="D1" s="2" t="s">
        <v>0</v>
      </c>
    </row>
    <row r="2" spans="1:4" ht="15.75" customHeight="1" x14ac:dyDescent="0.15">
      <c r="A2" s="3" t="s">
        <v>1</v>
      </c>
      <c r="B2" s="4" t="str">
        <f ca="1">IFERROR(__xludf.DUMMYFUNCTION("""COMPUTED_VALUE"""),"3674 to 4963 (Forward)")</f>
        <v>3674 to 4963 (Forward)</v>
      </c>
      <c r="C2" s="4" t="str">
        <f ca="1">IFERROR(__xludf.DUMMYFUNCTION("""COMPUTED_VALUE"""),"START: 3674
STOP: 4963
FORWARD")</f>
        <v>START: 3674
STOP: 4963
FORWARD</v>
      </c>
      <c r="D2" s="4"/>
    </row>
    <row r="3" spans="1:4" ht="15.75" customHeight="1" x14ac:dyDescent="0.15">
      <c r="A3" s="5" t="s">
        <v>2</v>
      </c>
      <c r="B3" s="6" t="str">
        <f ca="1">IFERROR(__xludf.DUMMYFUNCTION("""COMPUTED_VALUE"""),"7 in PDB, Pham, and 6 in DNAM")</f>
        <v>7 in PDB, Pham, and 6 in DNAM</v>
      </c>
      <c r="C3" s="6" t="str">
        <f ca="1">IFERROR(__xludf.DUMMYFUNCTION("""COMPUTED_VALUE"""),"DNAM: 6
PHAM: 7
Phagesdb: 7")</f>
        <v>DNAM: 6
PHAM: 7
Phagesdb: 7</v>
      </c>
      <c r="D3" s="6"/>
    </row>
    <row r="4" spans="1:4" ht="15.75" customHeight="1" x14ac:dyDescent="0.15">
      <c r="A4" s="5" t="s">
        <v>3</v>
      </c>
      <c r="B4" s="6" t="str">
        <f ca="1">IFERROR(__xludf.DUMMYFUNCTION("""COMPUTED_VALUE"""),"130463, 3/27/25")</f>
        <v>130463, 3/27/25</v>
      </c>
      <c r="C4" s="6" t="str">
        <f ca="1">IFERROR(__xludf.DUMMYFUNCTION("""COMPUTED_VALUE"""),"#130463  4/2/25")</f>
        <v>#130463  4/2/25</v>
      </c>
      <c r="D4" s="6"/>
    </row>
    <row r="5" spans="1:4" ht="15.75" customHeight="1" x14ac:dyDescent="0.15">
      <c r="A5" s="5" t="s">
        <v>4</v>
      </c>
      <c r="B5" s="6" t="str">
        <f ca="1">IFERROR(__xludf.DUMMYFUNCTION("""COMPUTED_VALUE"""),"Abba_3, Adelaide_3")</f>
        <v>Abba_3, Adelaide_3</v>
      </c>
      <c r="C5" s="6" t="str">
        <f ca="1">IFERROR(__xludf.DUMMYFUNCTION("""COMPUTED_VALUE"""),"Nandita #7 Elesar #6 ")</f>
        <v xml:space="preserve">Nandita #7 Elesar #6 </v>
      </c>
      <c r="D5" s="6"/>
    </row>
    <row r="6" spans="1:4" ht="15.75" customHeight="1" x14ac:dyDescent="0.15">
      <c r="A6" s="5" t="s">
        <v>5</v>
      </c>
      <c r="B6" s="6" t="str">
        <f ca="1">IFERROR(__xludf.DUMMYFUNCTION("""COMPUTED_VALUE"""),"Both call")</f>
        <v>Both call</v>
      </c>
      <c r="C6" s="6" t="str">
        <f ca="1">IFERROR(__xludf.DUMMYFUNCTION("""COMPUTED_VALUE"""),"Both glimmer and genemark call the start 3674")</f>
        <v>Both glimmer and genemark call the start 3674</v>
      </c>
      <c r="D6" s="6"/>
    </row>
    <row r="7" spans="1:4" ht="15.75" customHeight="1" x14ac:dyDescent="0.15">
      <c r="A7" s="5" t="s">
        <v>6</v>
      </c>
      <c r="B7" s="6" t="str">
        <f ca="1">IFERROR(__xludf.DUMMYFUNCTION("""COMPUTED_VALUE"""),"Meh coding potential, big dip towards the end.")</f>
        <v>Meh coding potential, big dip towards the end.</v>
      </c>
      <c r="C7" s="6" t="str">
        <f ca="1">IFERROR(__xludf.DUMMYFUNCTION("""COMPUTED_VALUE"""),"coding potential is kind of ugly, but there, and the start captures all of it.")</f>
        <v>coding potential is kind of ugly, but there, and the start captures all of it.</v>
      </c>
      <c r="D7" s="6"/>
    </row>
    <row r="8" spans="1:4" ht="15.75" customHeight="1" x14ac:dyDescent="0.15">
      <c r="A8" s="5" t="s">
        <v>7</v>
      </c>
      <c r="B8" s="6" t="str">
        <f ca="1">IFERROR(__xludf.DUMMYFUNCTION("""COMPUTED_VALUE"""),"Yes, no previous starts")</f>
        <v>Yes, no previous starts</v>
      </c>
      <c r="C8" s="6" t="str">
        <f ca="1">IFERROR(__xludf.DUMMYFUNCTION("""COMPUTED_VALUE"""),"Yes, this start is the longest possible reading frame")</f>
        <v>Yes, this start is the longest possible reading frame</v>
      </c>
      <c r="D8" s="6"/>
    </row>
    <row r="9" spans="1:4" ht="15.75" customHeight="1" x14ac:dyDescent="0.15">
      <c r="A9" s="5" t="s">
        <v>8</v>
      </c>
      <c r="B9" s="6" t="str">
        <f ca="1">IFERROR(__xludf.DUMMYFUNCTION("""COMPUTED_VALUE"""),"17 bp gap")</f>
        <v>17 bp gap</v>
      </c>
      <c r="C9" s="6" t="str">
        <f ca="1">IFERROR(__xludf.DUMMYFUNCTION("""COMPUTED_VALUE"""),"There is a 17 basepair gap between this gene and the previous one")</f>
        <v>There is a 17 basepair gap between this gene and the previous one</v>
      </c>
      <c r="D9" s="6"/>
    </row>
    <row r="10" spans="1:4" ht="15.75" customHeight="1" x14ac:dyDescent="0.15">
      <c r="A10" s="5" t="s">
        <v>9</v>
      </c>
      <c r="B10" s="6" t="str">
        <f ca="1">IFERROR(__xludf.DUMMYFUNCTION("""COMPUTED_VALUE"""),"Great Z score = 3.260, final = -2.016. Best out of all starts.")</f>
        <v>Great Z score = 3.260, final = -2.016. Best out of all starts.</v>
      </c>
      <c r="C10" s="6" t="str">
        <f ca="1">IFERROR(__xludf.DUMMYFUNCTION("""COMPUTED_VALUE"""),"Start: 3674 z-score:3.26 rbs:-2.02")</f>
        <v>Start: 3674 z-score:3.26 rbs:-2.02</v>
      </c>
      <c r="D10" s="6"/>
    </row>
    <row r="11" spans="1:4" ht="15.75" customHeight="1" x14ac:dyDescent="0.15">
      <c r="A11" s="5" t="s">
        <v>10</v>
      </c>
      <c r="B11" s="6" t="str">
        <f ca="1">IFERROR(__xludf.DUMMYFUNCTION("""COMPUTED_VALUE"""),"Nandita, identity = 100, e = 0, q1:s1. Elesar, identity = 95.34, e = 0, q1:s1 ")</f>
        <v xml:space="preserve">Nandita, identity = 100, e = 0, q1:s1. Elesar, identity = 95.34, e = 0, q1:s1 </v>
      </c>
      <c r="C11" s="6" t="str">
        <f ca="1">IFERROR(__xludf.DUMMYFUNCTION("""COMPUTED_VALUE"""),"Nandita #7 %ID:100 e-val:0.0e0
Q:1 S:1
Elesar #6 %ID:95.3 e-val:0.0e0
Q:1 S:1")</f>
        <v>Nandita #7 %ID:100 e-val:0.0e0
Q:1 S:1
Elesar #6 %ID:95.3 e-val:0.0e0
Q:1 S:1</v>
      </c>
      <c r="D11" s="6"/>
    </row>
    <row r="12" spans="1:4" ht="15.75" customHeight="1" x14ac:dyDescent="0.15">
      <c r="A12" s="5" t="s">
        <v>11</v>
      </c>
      <c r="B12" s="6" t="str">
        <f ca="1">IFERROR(__xludf.DUMMYFUNCTION("""COMPUTED_VALUE"""),"Found in 13.5% Genes, called in 61.4%")</f>
        <v>Found in 13.5% Genes, called in 61.4%</v>
      </c>
      <c r="C12" s="6" t="str">
        <f ca="1">IFERROR(__xludf.DUMMYFUNCTION("""COMPUTED_VALUE"""),"No, this pham is quite large, but almost all cluster FF phages call start #46 with schism, it seems starts are well conserved between all clusters here so its good supporting evidence.")</f>
        <v>No, this pham is quite large, but almost all cluster FF phages call start #46 with schism, it seems starts are well conserved between all clusters here so its good supporting evidence.</v>
      </c>
      <c r="D12" s="6"/>
    </row>
    <row r="13" spans="1:4" ht="15.75" customHeight="1" x14ac:dyDescent="0.15">
      <c r="A13" s="5" t="s">
        <v>12</v>
      </c>
      <c r="B13" s="6" t="str">
        <f ca="1">IFERROR(__xludf.DUMMYFUNCTION("""COMPUTED_VALUE"""),"No, no reason too, scores are excellent. ")</f>
        <v xml:space="preserve">No, no reason too, scores are excellent. </v>
      </c>
      <c r="C13" s="6" t="str">
        <f ca="1">IFERROR(__xludf.DUMMYFUNCTION("""COMPUTED_VALUE"""),"No, this is the only start with a z-score above 2, the starterator report shows it's conserved in the cluster.")</f>
        <v>No, this is the only start with a z-score above 2, the starterator report shows it's conserved in the cluster.</v>
      </c>
      <c r="D13" s="6"/>
    </row>
    <row r="14" spans="1:4" ht="15.75" customHeight="1" x14ac:dyDescent="0.15">
      <c r="A14" s="5" t="s">
        <v>13</v>
      </c>
      <c r="B14" s="6" t="str">
        <f ca="1">IFERROR(__xludf.DUMMYFUNCTION("""COMPUTED_VALUE"""),"Nandita_7, e = 0, Guinevere_Draft_7 e = 0")</f>
        <v>Nandita_7, e = 0, Guinevere_Draft_7 e = 0</v>
      </c>
      <c r="C14" s="6" t="str">
        <f ca="1">IFERROR(__xludf.DUMMYFUNCTION("""COMPUTED_VALUE"""),"Nandita #7 e-val:0.0e0
Elesar #6 e-val:0.0e0")</f>
        <v>Nandita #7 e-val:0.0e0
Elesar #6 e-val:0.0e0</v>
      </c>
      <c r="D14" s="6"/>
    </row>
    <row r="15" spans="1:4" ht="15.75" customHeight="1" x14ac:dyDescent="0.15">
      <c r="A15" s="5" t="s">
        <v>14</v>
      </c>
      <c r="B15" s="6" t="str">
        <f ca="1">IFERROR(__xludf.DUMMYFUNCTION("""COMPUTED_VALUE"""),"Nandita_7 - portal protein, Guinevere_7 - hypothetical protein")</f>
        <v>Nandita_7 - portal protein, Guinevere_7 - hypothetical protein</v>
      </c>
      <c r="C15" s="6" t="str">
        <f ca="1">IFERROR(__xludf.DUMMYFUNCTION("""COMPUTED_VALUE"""),"Nandita #7 (portal protein)
Elesar #6 (portal protein)")</f>
        <v>Nandita #7 (portal protein)
Elesar #6 (portal protein)</v>
      </c>
      <c r="D15" s="6"/>
    </row>
    <row r="16" spans="1:4" ht="15.75" customHeight="1" x14ac:dyDescent="0.15">
      <c r="A16" s="5" t="s">
        <v>15</v>
      </c>
      <c r="B16" s="6" t="str">
        <f ca="1">IFERROR(__xludf.DUMMYFUNCTION("""COMPUTED_VALUE"""),"Yes, found in same genetic environment")</f>
        <v>Yes, found in same genetic environment</v>
      </c>
      <c r="C16" s="6" t="str">
        <f ca="1">IFERROR(__xludf.DUMMYFUNCTION("""COMPUTED_VALUE"""),"Yes, the gene fits in its genetic environment very well with good alignment. There is an adjacent terminase large subunit to the left and an adjacent capsid maturation protease to the right.")</f>
        <v>Yes, the gene fits in its genetic environment very well with good alignment. There is an adjacent terminase large subunit to the left and an adjacent capsid maturation protease to the right.</v>
      </c>
      <c r="D16" s="6"/>
    </row>
    <row r="17" spans="1:4" ht="15.75" customHeight="1" x14ac:dyDescent="0.15">
      <c r="A17" s="5" t="s">
        <v>16</v>
      </c>
      <c r="B17" s="6" t="str">
        <f ca="1">IFERROR(__xludf.DUMMYFUNCTION("""COMPUTED_VALUE"""),"Portal protein; G20C, portal protein, bacteriophage, transport protein; 1.9A {Thermus phage P7426}. Probability = 100%, aoq = 89.28, aot = 91.85, functional domain is in target part of alignment.")</f>
        <v>Portal protein; G20C, portal protein, bacteriophage, transport protein; 1.9A {Thermus phage P7426}. Probability = 100%, aoq = 89.28, aot = 91.85, functional domain is in target part of alignment.</v>
      </c>
      <c r="C17" s="6" t="str">
        <f ca="1">IFERROR(__xludf.DUMMYFUNCTION("""COMPUTED_VALUE"""),"DESC: Portal protein; G20C, portal protein, bacteriophage, transport protein; 1.9A {Thermus phage P7426}
%prob: 100
%ALT: 91.8 %ALQ: 89.3
Yes, the domain is within the target part of the alignment for the portal protein domain.")</f>
        <v>DESC: Portal protein; G20C, portal protein, bacteriophage, transport protein; 1.9A {Thermus phage P7426}
%prob: 100
%ALT: 91.8 %ALQ: 89.3
Yes, the domain is within the target part of the alignment for the portal protein domain.</v>
      </c>
      <c r="D17" s="6"/>
    </row>
    <row r="18" spans="1:4" ht="15.75" customHeight="1" x14ac:dyDescent="0.15">
      <c r="A18" s="5" t="s">
        <v>17</v>
      </c>
      <c r="B18" s="6" t="str">
        <f ca="1">IFERROR(__xludf.DUMMYFUNCTION("""COMPUTED_VALUE"""),"DUF 935")</f>
        <v>DUF 935</v>
      </c>
      <c r="C18" s="6" t="str">
        <f ca="1">IFERROR(__xludf.DUMMYFUNCTION("""COMPUTED_VALUE"""),"Phamerator finds this domain; Protein of unknown function (DUF935) consists of several bacterial proteins of unknown function with Bacteriophage Mu gp29, in this gene.")</f>
        <v>Phamerator finds this domain; Protein of unknown function (DUF935) consists of several bacterial proteins of unknown function with Bacteriophage Mu gp29, in this gene.</v>
      </c>
      <c r="D18" s="6"/>
    </row>
    <row r="19" spans="1:4" ht="15.75" customHeight="1" x14ac:dyDescent="0.15">
      <c r="A19" s="5" t="s">
        <v>18</v>
      </c>
      <c r="B19" s="6" t="str">
        <f ca="1">IFERROR(__xludf.DUMMYFUNCTION("""COMPUTED_VALUE"""),"No")</f>
        <v>No</v>
      </c>
      <c r="C19" s="6" t="str">
        <f ca="1">IFERROR(__xludf.DUMMYFUNCTION("""COMPUTED_VALUE"""),"None - inside")</f>
        <v>None - inside</v>
      </c>
      <c r="D19" s="6"/>
    </row>
    <row r="20" spans="1:4" ht="15.75" customHeight="1" x14ac:dyDescent="0.15">
      <c r="A20" s="5" t="s">
        <v>19</v>
      </c>
      <c r="B20" s="6" t="str">
        <f ca="1">IFERROR(__xludf.DUMMYFUNCTION("""COMPUTED_VALUE"""),"Portal protein, supported by HHPred results and others")</f>
        <v>Portal protein, supported by HHPred results and others</v>
      </c>
      <c r="C20" s="6" t="str">
        <f ca="1">IFERROR(__xludf.DUMMYFUNCTION("""COMPUTED_VALUE"""),"Portal protein")</f>
        <v>Portal protein</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IFERROR(__xludf.DUMMYFUNCTION("IMPORTRANGE(""https://docs.google.com/spreadsheets/d/1xJbcWhjJwppoDUCHCotLHO1vyy_ugWR-w2T_Z5J7WD4"", ""S8!B1:B22"")"),"Rin Godfrey")</f>
        <v>Rin Godfrey</v>
      </c>
      <c r="C1" s="11" t="str">
        <f ca="1">IFERROR(__xludf.DUMMYFUNCTION("IMPORTRANGE(""https://docs.google.com/spreadsheets/d/19cQ7zWvMqLBhgqC8nl5nOal4YuMd-mbE3bz8Irjnl7E"", ""S8!B1:B22"")"),"Jake Stafford")</f>
        <v>Jake Stafford</v>
      </c>
      <c r="D1" s="2" t="s">
        <v>0</v>
      </c>
    </row>
    <row r="2" spans="1:4" ht="15.75" customHeight="1" x14ac:dyDescent="0.15">
      <c r="A2" s="3" t="s">
        <v>1</v>
      </c>
      <c r="B2" s="4" t="str">
        <f ca="1">IFERROR(__xludf.DUMMYFUNCTION("""COMPUTED_VALUE"""),"4963 - 6216  FOR")</f>
        <v>4963 - 6216  FOR</v>
      </c>
      <c r="C2" s="4" t="str">
        <f ca="1">IFERROR(__xludf.DUMMYFUNCTION("""COMPUTED_VALUE"""),"Start: 4963 Stop: 6216 FOR")</f>
        <v>Start: 4963 Stop: 6216 FOR</v>
      </c>
      <c r="D2" s="4"/>
    </row>
    <row r="3" spans="1:4" ht="15.75" customHeight="1" x14ac:dyDescent="0.15">
      <c r="A3" s="5" t="s">
        <v>2</v>
      </c>
      <c r="B3" s="6" t="str">
        <f ca="1">IFERROR(__xludf.DUMMYFUNCTION("""COMPUTED_VALUE"""),"DNA Master: 7
Phamorater: 8")</f>
        <v>DNA Master: 7
Phamorater: 8</v>
      </c>
      <c r="C3" s="6" t="str">
        <f ca="1">IFERROR(__xludf.DUMMYFUNCTION("""COMPUTED_VALUE"""),"8 in Pham and 7 in DNAM")</f>
        <v>8 in Pham and 7 in DNAM</v>
      </c>
      <c r="D3" s="6"/>
    </row>
    <row r="4" spans="1:4" ht="15.75" customHeight="1" x14ac:dyDescent="0.15">
      <c r="A4" s="5" t="s">
        <v>3</v>
      </c>
      <c r="B4" s="6" t="str">
        <f ca="1">IFERROR(__xludf.DUMMYFUNCTION("""COMPUTED_VALUE"""),"665 3/31/25")</f>
        <v>665 3/31/25</v>
      </c>
      <c r="C4" s="6" t="str">
        <f ca="1">IFERROR(__xludf.DUMMYFUNCTION("""COMPUTED_VALUE"""),"665 4/2/25")</f>
        <v>665 4/2/25</v>
      </c>
      <c r="D4" s="6"/>
    </row>
    <row r="5" spans="1:4" ht="15.75" customHeight="1" x14ac:dyDescent="0.15">
      <c r="A5" s="5" t="s">
        <v>4</v>
      </c>
      <c r="B5" s="6" t="str">
        <f ca="1">IFERROR(__xludf.DUMMYFUNCTION("""COMPUTED_VALUE"""),"Nandita_8, Lenoxika_Draft_8")</f>
        <v>Nandita_8, Lenoxika_Draft_8</v>
      </c>
      <c r="C5" s="6" t="str">
        <f ca="1">IFERROR(__xludf.DUMMYFUNCTION("""COMPUTED_VALUE"""),"32HC_11, Adora_4")</f>
        <v>32HC_11, Adora_4</v>
      </c>
      <c r="D5" s="6"/>
    </row>
    <row r="6" spans="1:4" ht="15.75" customHeight="1" x14ac:dyDescent="0.15">
      <c r="A6" s="5" t="s">
        <v>5</v>
      </c>
      <c r="B6" s="6" t="str">
        <f ca="1">IFERROR(__xludf.DUMMYFUNCTION("""COMPUTED_VALUE"""),"Glimmer Start: 4963
GeneMark Start: 4975")</f>
        <v>Glimmer Start: 4963
GeneMark Start: 4975</v>
      </c>
      <c r="C6" s="6" t="str">
        <f ca="1">IFERROR(__xludf.DUMMYFUNCTION("""COMPUTED_VALUE"""),"Glimmer called 4963, Genemark called 4975")</f>
        <v>Glimmer called 4963, Genemark called 4975</v>
      </c>
      <c r="D6" s="6"/>
    </row>
    <row r="7" spans="1:4" ht="15.75" customHeight="1" x14ac:dyDescent="0.15">
      <c r="A7" s="5" t="s">
        <v>6</v>
      </c>
      <c r="B7" s="6" t="str">
        <f ca="1">IFERROR(__xludf.DUMMYFUNCTION("""COMPUTED_VALUE"""),"The potenct is very good.")</f>
        <v>The potenct is very good.</v>
      </c>
      <c r="C7" s="6" t="str">
        <f ca="1">IFERROR(__xludf.DUMMYFUNCTION("""COMPUTED_VALUE"""),"Good coding potential, all is included")</f>
        <v>Good coding potential, all is included</v>
      </c>
      <c r="D7" s="6"/>
    </row>
    <row r="8" spans="1:4" ht="15.75" customHeight="1" x14ac:dyDescent="0.15">
      <c r="A8" s="5" t="s">
        <v>7</v>
      </c>
      <c r="B8" s="6" t="str">
        <f ca="1">IFERROR(__xludf.DUMMYFUNCTION("""COMPUTED_VALUE"""),"This is the longest ORF")</f>
        <v>This is the longest ORF</v>
      </c>
      <c r="C8" s="6" t="str">
        <f ca="1">IFERROR(__xludf.DUMMYFUNCTION("""COMPUTED_VALUE"""),"Longest ORF")</f>
        <v>Longest ORF</v>
      </c>
      <c r="D8" s="6"/>
    </row>
    <row r="9" spans="1:4" ht="15.75" customHeight="1" x14ac:dyDescent="0.15">
      <c r="A9" s="5" t="s">
        <v>8</v>
      </c>
      <c r="B9" s="6" t="str">
        <f ca="1">IFERROR(__xludf.DUMMYFUNCTION("""COMPUTED_VALUE"""),"There is an overlap of about 1 but thet start and stop on the same nucleotide")</f>
        <v>There is an overlap of about 1 but thet start and stop on the same nucleotide</v>
      </c>
      <c r="C9" s="6" t="str">
        <f ca="1">IFERROR(__xludf.DUMMYFUNCTION("""COMPUTED_VALUE"""),"Gap of 2 nucleotides with previous gene")</f>
        <v>Gap of 2 nucleotides with previous gene</v>
      </c>
      <c r="D9" s="6"/>
    </row>
    <row r="10" spans="1:4" ht="15.75" customHeight="1" x14ac:dyDescent="0.15">
      <c r="A10" s="5" t="s">
        <v>9</v>
      </c>
      <c r="B10" s="6" t="str">
        <f ca="1">IFERROR(__xludf.DUMMYFUNCTION("""COMPUTED_VALUE"""),"z-score: 1.931, f-score: -4.801")</f>
        <v>z-score: 1.931, f-score: -4.801</v>
      </c>
      <c r="C10" s="6" t="str">
        <f ca="1">IFERROR(__xludf.DUMMYFUNCTION("""COMPUTED_VALUE"""),"Start#1 z-score: 1.944, f-score: -4.801. Not best score. Best score is start#3 z-score: 2.600, f-score: -4.647 but would create a 57 nucleotide gap. ")</f>
        <v xml:space="preserve">Start#1 z-score: 1.944, f-score: -4.801. Not best score. Best score is start#3 z-score: 2.600, f-score: -4.647 but would create a 57 nucleotide gap. </v>
      </c>
      <c r="D10" s="6"/>
    </row>
    <row r="11" spans="1:4" ht="15.75" customHeight="1" x14ac:dyDescent="0.15">
      <c r="A11" s="5" t="s">
        <v>10</v>
      </c>
      <c r="B11" s="6" t="str">
        <f ca="1">IFERROR(__xludf.DUMMYFUNCTION("""COMPUTED_VALUE"""),"Nandita_8
100% identity, 0.0 e-value")</f>
        <v>Nandita_8
100% identity, 0.0 e-value</v>
      </c>
      <c r="C11" s="6" t="str">
        <f ca="1">IFERROR(__xludf.DUMMYFUNCTION("""COMPUTED_VALUE"""),"Nandita_8, 100% Identity, eval: 0. Elesar_7, 88.89% Identity, eval:0")</f>
        <v>Nandita_8, 100% Identity, eval: 0. Elesar_7, 88.89% Identity, eval:0</v>
      </c>
      <c r="D11" s="6"/>
    </row>
    <row r="12" spans="1:4" ht="15.75" customHeight="1" x14ac:dyDescent="0.15">
      <c r="A12" s="5" t="s">
        <v>11</v>
      </c>
      <c r="B12" s="6" t="str">
        <f ca="1">IFERROR(__xludf.DUMMYFUNCTION("""COMPUTED_VALUE"""),"The start conserved is in 19 of 179, 10.6%
Called 84.2% ")</f>
        <v xml:space="preserve">The start conserved is in 19 of 179, 10.6%
Called 84.2% </v>
      </c>
      <c r="C12" s="6" t="str">
        <f ca="1">IFERROR(__xludf.DUMMYFUNCTION("""COMPUTED_VALUE"""),"Not conserved in all members of this pham, called 84.2% of the time when present")</f>
        <v>Not conserved in all members of this pham, called 84.2% of the time when present</v>
      </c>
      <c r="D12" s="6"/>
    </row>
    <row r="13" spans="1:4" ht="15.75" customHeight="1" x14ac:dyDescent="0.15">
      <c r="A13" s="5" t="s">
        <v>12</v>
      </c>
      <c r="B13" s="6" t="str">
        <f ca="1">IFERROR(__xludf.DUMMYFUNCTION("""COMPUTED_VALUE"""),"No")</f>
        <v>No</v>
      </c>
      <c r="C13" s="6" t="str">
        <f ca="1">IFERROR(__xludf.DUMMYFUNCTION("""COMPUTED_VALUE"""),"No, start one has best score without creating a large gap")</f>
        <v>No, start one has best score without creating a large gap</v>
      </c>
      <c r="D13" s="6"/>
    </row>
    <row r="14" spans="1:4" ht="15.75" customHeight="1" x14ac:dyDescent="0.15">
      <c r="A14" s="5" t="s">
        <v>13</v>
      </c>
      <c r="B14" s="6" t="str">
        <f ca="1">IFERROR(__xludf.DUMMYFUNCTION("""COMPUTED_VALUE"""),"Lenoxika_Draft_8, 0.0   
Nandita_8, 0.0   ")</f>
        <v xml:space="preserve">Lenoxika_Draft_8, 0.0   
Nandita_8, 0.0   </v>
      </c>
      <c r="C14" s="6" t="str">
        <f ca="1">IFERROR(__xludf.DUMMYFUNCTION("""COMPUTED_VALUE"""),"Guinevera_8, eval:0, Lenoxika_8, eval:0. Nandita_8, eval:0")</f>
        <v>Guinevera_8, eval:0, Lenoxika_8, eval:0. Nandita_8, eval:0</v>
      </c>
      <c r="D14" s="6"/>
    </row>
    <row r="15" spans="1:4" ht="15.75" customHeight="1" x14ac:dyDescent="0.15">
      <c r="A15" s="5" t="s">
        <v>14</v>
      </c>
      <c r="B15" s="6" t="str">
        <f ca="1">IFERROR(__xludf.DUMMYFUNCTION("""COMPUTED_VALUE""")," Lenoxika_Draft_8, function unknown   
Nandita_8, capsid maturation protease ")</f>
        <v xml:space="preserve"> Lenoxika_Draft_8, function unknown   
Nandita_8, capsid maturation protease </v>
      </c>
      <c r="C15" s="6" t="str">
        <f ca="1">IFERROR(__xludf.DUMMYFUNCTION("""COMPUTED_VALUE"""),"Guinevera_8 and Lenoxika have unknown funtions. Nandita_8 is a capsid maturation protease")</f>
        <v>Guinevera_8 and Lenoxika have unknown funtions. Nandita_8 is a capsid maturation protease</v>
      </c>
      <c r="D15" s="6"/>
    </row>
    <row r="16" spans="1:4" ht="15.75" customHeight="1" x14ac:dyDescent="0.15">
      <c r="A16" s="5" t="s">
        <v>15</v>
      </c>
      <c r="B16" s="6" t="str">
        <f ca="1">IFERROR(__xludf.DUMMYFUNCTION("""COMPUTED_VALUE"""),"matches well with Nandita")</f>
        <v>matches well with Nandita</v>
      </c>
      <c r="C16" s="6" t="str">
        <f ca="1">IFERROR(__xludf.DUMMYFUNCTION("""COMPUTED_VALUE"""),"Yes, genes 4-17 in Nandita")</f>
        <v>Yes, genes 4-17 in Nandita</v>
      </c>
      <c r="D16" s="6"/>
    </row>
    <row r="17" spans="1:4" ht="15.75" customHeight="1" x14ac:dyDescent="0.15">
      <c r="A17" s="5" t="s">
        <v>16</v>
      </c>
      <c r="B17" s="6" t="str">
        <f ca="1">IFERROR(__xludf.DUMMYFUNCTION("""COMPUTED_VALUE"""),"1TG6_G Putative ATP-dependent Clp protease proteolytic subunit; mitochondrial ClpP, Clp/Hsp 100, ATP-dependent protease, HYDROLASE; HET: DIO, FME, EDO, GOL; 2.1A {Homo sapiens} SCOP: c.14.1.1
Probability: 99.88%, Query: 39%, Target: 58%
There is no functi"&amp;"onal domain shown for this result")</f>
        <v>1TG6_G Putative ATP-dependent Clp protease proteolytic subunit; mitochondrial ClpP, Clp/Hsp 100, ATP-dependent protease, HYDROLASE; HET: DIO, FME, EDO, GOL; 2.1A {Homo sapiens} SCOP: c.14.1.1
Probability: 99.88%, Query: 39%, Target: 58%
There is no functional domain shown for this result</v>
      </c>
      <c r="C17" s="6" t="str">
        <f ca="1">IFERROR(__xludf.DUMMYFUNCTION("""COMPUTED_VALUE"""),"ATP-dependent Clp protease proteolytic subunit; Clp, Complex, Protease, Chloroplast, Chlamydomnas, Atp-dependent., STRUC. 99.82% probability, 38.85% allq, 68.07% allt, functional domain is within the target part of the alignment")</f>
        <v>ATP-dependent Clp protease proteolytic subunit; Clp, Complex, Protease, Chloroplast, Chlamydomnas, Atp-dependent., STRUC. 99.82% probability, 38.85% allq, 68.07% allt, functional domain is within the target part of the alignment</v>
      </c>
      <c r="D17" s="6"/>
    </row>
    <row r="18" spans="1:4" ht="15.75" customHeight="1" x14ac:dyDescent="0.15">
      <c r="A18" s="5" t="s">
        <v>17</v>
      </c>
      <c r="B18" s="6" t="str">
        <f ca="1">IFERROR(__xludf.DUMMYFUNCTION("""COMPUTED_VALUE"""),"ATP-dependent Clp protease proteolytic subunit; Reviewed.
Protein Alignment Data:
Query Start (Amino Acid Position): 54
Query End (Amino Acid Position): 181
E-Value: 1.1312e-8")</f>
        <v>ATP-dependent Clp protease proteolytic subunit; Reviewed.
Protein Alignment Data:
Query Start (Amino Acid Position): 54
Query End (Amino Acid Position): 181
E-Value: 1.1312e-8</v>
      </c>
      <c r="C18" s="6" t="str">
        <f ca="1">IFERROR(__xludf.DUMMYFUNCTION("""COMPUTED_VALUE"""),"yes, ClpP
S14_ClpP_1
S14_ClpP
S14_ClpP_2
PRK12553
CLP_protease
clpP
clpP
S49_Sppa_N_C
Clp_protease_like
SppA
PRK12551
PRK14512
Putative_signal_peptid...
S49_Sppa_36K_type
Clp_protease_NfeD_like
SDH_sah
Protease_4")</f>
        <v>yes, ClpP
S14_ClpP_1
S14_ClpP
S14_ClpP_2
PRK12553
CLP_protease
clpP
clpP
S49_Sppa_N_C
Clp_protease_like
SppA
PRK12551
PRK14512
Putative_signal_peptid...
S49_Sppa_36K_type
Clp_protease_NfeD_like
SDH_sah
Protease_4</v>
      </c>
      <c r="D18" s="6"/>
    </row>
    <row r="19" spans="1:4" ht="15.75" customHeight="1" x14ac:dyDescent="0.15">
      <c r="A19" s="5" t="s">
        <v>18</v>
      </c>
      <c r="B19" s="6" t="str">
        <f ca="1">IFERROR(__xludf.DUMMYFUNCTION("""COMPUTED_VALUE"""),"None")</f>
        <v>None</v>
      </c>
      <c r="C19" s="6" t="str">
        <f ca="1">IFERROR(__xludf.DUMMYFUNCTION("""COMPUTED_VALUE"""),"None")</f>
        <v>None</v>
      </c>
      <c r="D19" s="6"/>
    </row>
    <row r="20" spans="1:4" ht="15.75" customHeight="1" x14ac:dyDescent="0.15">
      <c r="A20" s="5" t="s">
        <v>19</v>
      </c>
      <c r="B20" s="6" t="str">
        <f ca="1">IFERROR(__xludf.DUMMYFUNCTION("""COMPUTED_VALUE"""),"No function there is no evidence to give this gene a proper function without having some doubt about it.")</f>
        <v>No function there is no evidence to give this gene a proper function without having some doubt about it.</v>
      </c>
      <c r="C20" s="6" t="str">
        <f ca="1">IFERROR(__xludf.DUMMYFUNCTION("""COMPUTED_VALUE"""),"I think that his gene is a capsid maturation protease because its part of the ClpP domain and has many homologous genes that are capsid maturation protease genes.")</f>
        <v>I think that his gene is a capsid maturation protease because its part of the ClpP domain and has many homologous genes that are capsid maturation protease genes.</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2" t="str">
        <f ca="1">IFERROR(__xludf.DUMMYFUNCTION("IMPORTRANGE(""https://docs.google.com/spreadsheets/d/1JcP72URjln8m_02QQGZH43HhxTMRpkReW-wbnKU8b-0"", ""S9!B1:B22"")"),"Josiah Bolton")</f>
        <v>Josiah Bolton</v>
      </c>
      <c r="C1" s="11" t="str">
        <f ca="1">IFERROR(__xludf.DUMMYFUNCTION("IMPORTRANGE(""https://docs.google.com/spreadsheets/d/1xJbcWhjJwppoDUCHCotLHO1vyy_ugWR-w2T_Z5J7WD4"", ""S9!B1:B22"")"),"Rin Godfrey")</f>
        <v>Rin Godfrey</v>
      </c>
      <c r="D1" s="2" t="s">
        <v>0</v>
      </c>
    </row>
    <row r="2" spans="1:4" ht="15.75" customHeight="1" x14ac:dyDescent="0.15">
      <c r="A2" s="3" t="s">
        <v>1</v>
      </c>
      <c r="B2" s="4" t="str">
        <f ca="1">IFERROR(__xludf.DUMMYFUNCTION("""COMPUTED_VALUE"""),"6219-6581 FOR")</f>
        <v>6219-6581 FOR</v>
      </c>
      <c r="C2" s="4" t="str">
        <f ca="1">IFERROR(__xludf.DUMMYFUNCTION("""COMPUTED_VALUE"""),"6219 - 6581 FOR")</f>
        <v>6219 - 6581 FOR</v>
      </c>
      <c r="D2" s="4"/>
    </row>
    <row r="3" spans="1:4" ht="15.75" customHeight="1" x14ac:dyDescent="0.15">
      <c r="A3" s="5" t="s">
        <v>2</v>
      </c>
      <c r="B3" s="6" t="str">
        <f ca="1">IFERROR(__xludf.DUMMYFUNCTION("""COMPUTED_VALUE"""),"8 in DNA Master
9 on Phamerator map")</f>
        <v>8 in DNA Master
9 on Phamerator map</v>
      </c>
      <c r="C3" s="6" t="str">
        <f ca="1">IFERROR(__xludf.DUMMYFUNCTION("""COMPUTED_VALUE"""),"DNA Master: 8
Phamerator: 9")</f>
        <v>DNA Master: 8
Phamerator: 9</v>
      </c>
      <c r="D3" s="6"/>
    </row>
    <row r="4" spans="1:4" ht="15.75" customHeight="1" x14ac:dyDescent="0.15">
      <c r="A4" s="5" t="s">
        <v>3</v>
      </c>
      <c r="B4" s="6" t="str">
        <f ca="1">IFERROR(__xludf.DUMMYFUNCTION("""COMPUTED_VALUE"""),"222887 3/31/2025")</f>
        <v>222887 3/31/2025</v>
      </c>
      <c r="C4" s="6" t="str">
        <f ca="1">IFERROR(__xludf.DUMMYFUNCTION("""COMPUTED_VALUE"""),"222887 3/31/25")</f>
        <v>222887 3/31/25</v>
      </c>
      <c r="D4" s="6"/>
    </row>
    <row r="5" spans="1:4" ht="15.75" customHeight="1" x14ac:dyDescent="0.15">
      <c r="A5" s="5" t="s">
        <v>4</v>
      </c>
      <c r="B5" s="6" t="str">
        <f ca="1">IFERROR(__xludf.DUMMYFUNCTION("""COMPUTED_VALUE"""),"Nandita 9")</f>
        <v>Nandita 9</v>
      </c>
      <c r="C5" s="6" t="str">
        <f ca="1">IFERROR(__xludf.DUMMYFUNCTION("""COMPUTED_VALUE"""),"Nandita_9 (scaffolding protein)
Lenoxika_Draft_9")</f>
        <v>Nandita_9 (scaffolding protein)
Lenoxika_Draft_9</v>
      </c>
      <c r="D5" s="6"/>
    </row>
    <row r="6" spans="1:4" ht="15.75" customHeight="1" x14ac:dyDescent="0.15">
      <c r="A6" s="5" t="s">
        <v>5</v>
      </c>
      <c r="B6" s="6" t="str">
        <f ca="1">IFERROR(__xludf.DUMMYFUNCTION("""COMPUTED_VALUE"""),"Both called this gene.")</f>
        <v>Both called this gene.</v>
      </c>
      <c r="C6" s="6" t="str">
        <f ca="1">IFERROR(__xludf.DUMMYFUNCTION("""COMPUTED_VALUE"""),"Both Start: 6219")</f>
        <v>Both Start: 6219</v>
      </c>
      <c r="D6" s="6"/>
    </row>
    <row r="7" spans="1:4" ht="15.75" customHeight="1" x14ac:dyDescent="0.15">
      <c r="A7" s="5" t="s">
        <v>6</v>
      </c>
      <c r="B7" s="6" t="str">
        <f ca="1">IFERROR(__xludf.DUMMYFUNCTION("""COMPUTED_VALUE"""),"Has decent coding potential but all is captured.")</f>
        <v>Has decent coding potential but all is captured.</v>
      </c>
      <c r="C7" s="6" t="str">
        <f ca="1">IFERROR(__xludf.DUMMYFUNCTION("""COMPUTED_VALUE"""),"The gene mark show that the potecal is good.")</f>
        <v>The gene mark show that the potecal is good.</v>
      </c>
      <c r="D7" s="6"/>
    </row>
    <row r="8" spans="1:4" ht="15.75" customHeight="1" x14ac:dyDescent="0.15">
      <c r="A8" s="5" t="s">
        <v>7</v>
      </c>
      <c r="B8" s="6" t="str">
        <f ca="1">IFERROR(__xludf.DUMMYFUNCTION("""COMPUTED_VALUE"""),"This is the longest ORF.")</f>
        <v>This is the longest ORF.</v>
      </c>
      <c r="C8" s="6" t="str">
        <f ca="1">IFERROR(__xludf.DUMMYFUNCTION("""COMPUTED_VALUE"""),"Yes this is the longest ORF")</f>
        <v>Yes this is the longest ORF</v>
      </c>
      <c r="D8" s="6"/>
    </row>
    <row r="9" spans="1:4" ht="15.75" customHeight="1" x14ac:dyDescent="0.15">
      <c r="A9" s="5" t="s">
        <v>8</v>
      </c>
      <c r="B9" s="6" t="str">
        <f ca="1">IFERROR(__xludf.DUMMYFUNCTION("""COMPUTED_VALUE"""),"3 bp nucleotide gap.")</f>
        <v>3 bp nucleotide gap.</v>
      </c>
      <c r="C9" s="6" t="str">
        <f ca="1">IFERROR(__xludf.DUMMYFUNCTION("""COMPUTED_VALUE"""),"Gap of 3 with the prevese gene")</f>
        <v>Gap of 3 with the prevese gene</v>
      </c>
      <c r="D9" s="6"/>
    </row>
    <row r="10" spans="1:4" ht="15.75" customHeight="1" x14ac:dyDescent="0.15">
      <c r="A10" s="5" t="s">
        <v>9</v>
      </c>
      <c r="B10" s="6" t="str">
        <f ca="1">IFERROR(__xludf.DUMMYFUNCTION("""COMPUTED_VALUE"""),"Z score is 2.602 and final score is -3.447. This is the best score.")</f>
        <v>Z score is 2.602 and final score is -3.447. This is the best score.</v>
      </c>
      <c r="C10" s="6" t="str">
        <f ca="1">IFERROR(__xludf.DUMMYFUNCTION("""COMPUTED_VALUE"""),"Z-score 2.617, F-score -3.447
Best score")</f>
        <v>Z-score 2.617, F-score -3.447
Best score</v>
      </c>
      <c r="D10" s="6"/>
    </row>
    <row r="11" spans="1:4" ht="15.75" customHeight="1" x14ac:dyDescent="0.15">
      <c r="A11" s="5" t="s">
        <v>10</v>
      </c>
      <c r="B11" s="6" t="str">
        <f ca="1">IFERROR(__xludf.DUMMYFUNCTION("""COMPUTED_VALUE"""),"Nandita 9 with % identity 100% evalue is 7.57e-76. q1:s1.")</f>
        <v>Nandita 9 with % identity 100% evalue is 7.57e-76. q1:s1.</v>
      </c>
      <c r="C11" s="6" t="str">
        <f ca="1">IFERROR(__xludf.DUMMYFUNCTION("""COMPUTED_VALUE"""),"Nandita_9 
100% identity, 8e-76, q: 1-61 ,t: 1-61 ")</f>
        <v xml:space="preserve">Nandita_9 
100% identity, 8e-76, q: 1-61 ,t: 1-61 </v>
      </c>
      <c r="D11" s="6"/>
    </row>
    <row r="12" spans="1:4" ht="15.75" customHeight="1" x14ac:dyDescent="0.15">
      <c r="A12" s="5" t="s">
        <v>11</v>
      </c>
      <c r="B12" s="6" t="str">
        <f ca="1">IFERROR(__xludf.DUMMYFUNCTION("""COMPUTED_VALUE"""),"The start 12 is conserved and many members of the pham. It is called 100% of the time when present.")</f>
        <v>The start 12 is conserved and many members of the pham. It is called 100% of the time when present.</v>
      </c>
      <c r="C12" s="6" t="str">
        <f ca="1">IFERROR(__xludf.DUMMYFUNCTION("""COMPUTED_VALUE"""),"They are found in  64.1%.
And is called 100% of the time.")</f>
        <v>They are found in  64.1%.
And is called 100% of the time.</v>
      </c>
      <c r="D12" s="6"/>
    </row>
    <row r="13" spans="1:4" ht="15.75" customHeight="1" x14ac:dyDescent="0.15">
      <c r="A13" s="5" t="s">
        <v>12</v>
      </c>
      <c r="B13" s="6" t="str">
        <f ca="1">IFERROR(__xludf.DUMMYFUNCTION("""COMPUTED_VALUE"""),"No start change because longest ORF and great Z-Score.")</f>
        <v>No start change because longest ORF and great Z-Score.</v>
      </c>
      <c r="C13" s="6" t="str">
        <f ca="1">IFERROR(__xludf.DUMMYFUNCTION("""COMPUTED_VALUE"""),"No change")</f>
        <v>No change</v>
      </c>
      <c r="D13" s="6"/>
    </row>
    <row r="14" spans="1:4" ht="15.75" customHeight="1" x14ac:dyDescent="0.15">
      <c r="A14" s="5" t="s">
        <v>13</v>
      </c>
      <c r="B14" s="6" t="str">
        <f ca="1">IFERROR(__xludf.DUMMYFUNCTION("""COMPUTED_VALUE"""),"Nandita 9 e value is 1e-61")</f>
        <v>Nandita 9 e value is 1e-61</v>
      </c>
      <c r="C14" s="6" t="str">
        <f ca="1">IFERROR(__xludf.DUMMYFUNCTION("""COMPUTED_VALUE"""),"Nandita_9, 1e-61 
Lenoxika_Draft_9, 1e-61 ")</f>
        <v xml:space="preserve">Nandita_9, 1e-61 
Lenoxika_Draft_9, 1e-61 </v>
      </c>
      <c r="D14" s="6"/>
    </row>
    <row r="15" spans="1:4" ht="15.75" customHeight="1" x14ac:dyDescent="0.15">
      <c r="A15" s="5" t="s">
        <v>14</v>
      </c>
      <c r="B15" s="6" t="str">
        <f ca="1">IFERROR(__xludf.DUMMYFUNCTION("""COMPUTED_VALUE"""),"Nandita 9 is a scaffolding protein.")</f>
        <v>Nandita 9 is a scaffolding protein.</v>
      </c>
      <c r="C15" s="6" t="str">
        <f ca="1">IFERROR(__xludf.DUMMYFUNCTION("""COMPUTED_VALUE"""),"Nandita_9, scaffolding protein
Lenoxika_Draft_9, function unknown")</f>
        <v>Nandita_9, scaffolding protein
Lenoxika_Draft_9, function unknown</v>
      </c>
      <c r="D15" s="6"/>
    </row>
    <row r="16" spans="1:4" ht="15.75" customHeight="1" x14ac:dyDescent="0.15">
      <c r="A16" s="5" t="s">
        <v>15</v>
      </c>
      <c r="B16" s="6" t="str">
        <f ca="1">IFERROR(__xludf.DUMMYFUNCTION("""COMPUTED_VALUE"""),"This function is expected in adjacent with Schism 9.")</f>
        <v>This function is expected in adjacent with Schism 9.</v>
      </c>
      <c r="C16" s="6" t="str">
        <f ca="1">IFERROR(__xludf.DUMMYFUNCTION("""COMPUTED_VALUE"""),"Matches very well with Nandita")</f>
        <v>Matches very well with Nandita</v>
      </c>
      <c r="D16" s="6"/>
    </row>
    <row r="17" spans="1:4" ht="15.75" customHeight="1" x14ac:dyDescent="0.15">
      <c r="A17" s="5" t="s">
        <v>16</v>
      </c>
      <c r="B17" s="6" t="str">
        <f ca="1">IFERROR(__xludf.DUMMYFUNCTION("""COMPUTED_VALUE"""),"Capsid stabilization protein; Archaeal virus, portal, portal capsid interface, Mg ions, VIRUS; HET: MG, HIP, K; 2.68A {Haloferax tailed virus 1} Probability is 99.84% , alignment of query is 99.17%, and alignment of target is 86.86%. The functional domain"&amp;" is not in target part of alignment.")</f>
        <v>Capsid stabilization protein; Archaeal virus, portal, portal capsid interface, Mg ions, VIRUS; HET: MG, HIP, K; 2.68A {Haloferax tailed virus 1} Probability is 99.84% , alignment of query is 99.17%, and alignment of target is 86.86%. The functional domain is not in target part of alignment.</v>
      </c>
      <c r="C17" s="6" t="str">
        <f ca="1">IFERROR(__xludf.DUMMYFUNCTION("""COMPUTED_VALUE"""),"8QSY_KI Capsid stabilization protein; Archaeal virus, portal, portal capsid interface, Mg ions, VIRUS; HET: MG, HIP, K; 2.68A {Haloferax tailed virus 1}
Probability: 99.84%
Query: 99%
Target: 87%
The functional domain is not there and so it is not a part "&amp;"of the targeted alignment")</f>
        <v>8QSY_KI Capsid stabilization protein; Archaeal virus, portal, portal capsid interface, Mg ions, VIRUS; HET: MG, HIP, K; 2.68A {Haloferax tailed virus 1}
Probability: 99.84%
Query: 99%
Target: 87%
The functional domain is not there and so it is not a part of the targeted alignment</v>
      </c>
      <c r="D17" s="6"/>
    </row>
    <row r="18" spans="1:4" ht="15.75" customHeight="1" x14ac:dyDescent="0.15">
      <c r="A18" s="5" t="s">
        <v>17</v>
      </c>
      <c r="B18" s="6" t="str">
        <f ca="1">IFERROR(__xludf.DUMMYFUNCTION("""COMPUTED_VALUE"""),"No conserved domain.")</f>
        <v>No conserved domain.</v>
      </c>
      <c r="C18" s="6" t="str">
        <f ca="1">IFERROR(__xludf.DUMMYFUNCTION("""COMPUTED_VALUE"""),"none")</f>
        <v>none</v>
      </c>
      <c r="D18" s="6"/>
    </row>
    <row r="19" spans="1:4" ht="15.75" customHeight="1" x14ac:dyDescent="0.15">
      <c r="A19" s="5" t="s">
        <v>18</v>
      </c>
      <c r="B19" s="6" t="str">
        <f ca="1">IFERROR(__xludf.DUMMYFUNCTION("""COMPUTED_VALUE"""),"None.")</f>
        <v>None.</v>
      </c>
      <c r="C19" s="6" t="str">
        <f ca="1">IFERROR(__xludf.DUMMYFUNCTION("""COMPUTED_VALUE"""),"none")</f>
        <v>none</v>
      </c>
      <c r="D19" s="6"/>
    </row>
    <row r="20" spans="1:4" ht="15.75" customHeight="1" x14ac:dyDescent="0.15">
      <c r="A20" s="5" t="s">
        <v>19</v>
      </c>
      <c r="B20" s="6" t="str">
        <f ca="1">IFERROR(__xludf.DUMMYFUNCTION("""COMPUTED_VALUE"""),"Scaffolding protein based off the information given. There is a great alignment along Nandita, but the target part is not in the portal protein alignment for HHPred. PhagesDB and NCBI Blast both match as well to a scaffolding protein.")</f>
        <v>Scaffolding protein based off the information given. There is a great alignment along Nandita, but the target part is not in the portal protein alignment for HHPred. PhagesDB and NCBI Blast both match as well to a scaffolding protein.</v>
      </c>
      <c r="C20" s="6" t="str">
        <f ca="1">IFERROR(__xludf.DUMMYFUNCTION("""COMPUTED_VALUE"""),"No function the HHpred matches well with Capsid fiber protein but that is not a function. Overall hard to find a function.")</f>
        <v>No function the HHpred matches well with Capsid fiber protein but that is not a function. Overall hard to find a function.</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IFERROR(__xludf.DUMMYFUNCTION("IMPORTRANGE(""https://docs.google.com/spreadsheets/d/1u6ZP_AyBJKGOZ-m1erEe8ylMC_0IEsUBTvQJRRPiF5g"", ""S10!B1:B22"")"),"Erin Loudermilk")</f>
        <v>Erin Loudermilk</v>
      </c>
      <c r="C1" s="11" t="str">
        <f ca="1">IFERROR(__xludf.DUMMYFUNCTION("IMPORTRANGE(""https://docs.google.com/spreadsheets/d/19cQ7zWvMqLBhgqC8nl5nOal4YuMd-mbE3bz8Irjnl7E"", ""S10!B1:B22"")"),"Jake Stafford")</f>
        <v>Jake Stafford</v>
      </c>
      <c r="D1" s="2" t="s">
        <v>0</v>
      </c>
    </row>
    <row r="2" spans="1:4" ht="15.75" customHeight="1" x14ac:dyDescent="0.15">
      <c r="A2" s="3" t="s">
        <v>1</v>
      </c>
      <c r="B2" s="4" t="str">
        <f ca="1">IFERROR(__xludf.DUMMYFUNCTION("""COMPUTED_VALUE"""),"6592 to 7521 FOR")</f>
        <v>6592 to 7521 FOR</v>
      </c>
      <c r="C2" s="4" t="str">
        <f ca="1">IFERROR(__xludf.DUMMYFUNCTION("""COMPUTED_VALUE"""),"Start: 6592 Stop: 7521 FOR")</f>
        <v>Start: 6592 Stop: 7521 FOR</v>
      </c>
      <c r="D2" s="4"/>
    </row>
    <row r="3" spans="1:4" ht="15.75" customHeight="1" x14ac:dyDescent="0.15">
      <c r="A3" s="5" t="s">
        <v>2</v>
      </c>
      <c r="B3" s="6" t="str">
        <f ca="1">IFERROR(__xludf.DUMMYFUNCTION("""COMPUTED_VALUE"""),"DNA: 9 Pham: 10")</f>
        <v>DNA: 9 Pham: 10</v>
      </c>
      <c r="C3" s="6" t="str">
        <f ca="1">IFERROR(__xludf.DUMMYFUNCTION("""COMPUTED_VALUE"""),"10 in pham, 9 in DNAM")</f>
        <v>10 in pham, 9 in DNAM</v>
      </c>
      <c r="D3" s="6"/>
    </row>
    <row r="4" spans="1:4" ht="15.75" customHeight="1" x14ac:dyDescent="0.15">
      <c r="A4" s="5" t="s">
        <v>3</v>
      </c>
      <c r="B4" s="6" t="str">
        <f ca="1">IFERROR(__xludf.DUMMYFUNCTION("""COMPUTED_VALUE"""),"224207 (4/2/25)")</f>
        <v>224207 (4/2/25)</v>
      </c>
      <c r="C4" s="6" t="str">
        <f ca="1">IFERROR(__xludf.DUMMYFUNCTION("""COMPUTED_VALUE"""),"224207 4/2/25")</f>
        <v>224207 4/2/25</v>
      </c>
      <c r="D4" s="6"/>
    </row>
    <row r="5" spans="1:4" ht="15.75" customHeight="1" x14ac:dyDescent="0.15">
      <c r="A5" s="5" t="s">
        <v>4</v>
      </c>
      <c r="B5" s="6" t="str">
        <f ca="1">IFERROR(__xludf.DUMMYFUNCTION("""COMPUTED_VALUE"""),"Nandita_10, GoodLuckBabe_10")</f>
        <v>Nandita_10, GoodLuckBabe_10</v>
      </c>
      <c r="C5" s="6" t="str">
        <f ca="1">IFERROR(__xludf.DUMMYFUNCTION("""COMPUTED_VALUE"""),"Nadita_10, Guinevere_10")</f>
        <v>Nadita_10, Guinevere_10</v>
      </c>
      <c r="D5" s="6"/>
    </row>
    <row r="6" spans="1:4" ht="15.75" customHeight="1" x14ac:dyDescent="0.15">
      <c r="A6" s="5" t="s">
        <v>5</v>
      </c>
      <c r="B6" s="6" t="str">
        <f ca="1">IFERROR(__xludf.DUMMYFUNCTION("""COMPUTED_VALUE"""),"Both call start @ 6592")</f>
        <v>Both call start @ 6592</v>
      </c>
      <c r="C6" s="6" t="str">
        <f ca="1">IFERROR(__xludf.DUMMYFUNCTION("""COMPUTED_VALUE"""),"Both called 6592")</f>
        <v>Both called 6592</v>
      </c>
      <c r="D6" s="6"/>
    </row>
    <row r="7" spans="1:4" ht="15.75" customHeight="1" x14ac:dyDescent="0.15">
      <c r="A7" s="5" t="s">
        <v>6</v>
      </c>
      <c r="B7" s="6"/>
      <c r="C7" s="6" t="str">
        <f ca="1">IFERROR(__xludf.DUMMYFUNCTION("""COMPUTED_VALUE"""),"Good coding potential, all is included")</f>
        <v>Good coding potential, all is included</v>
      </c>
      <c r="D7" s="6"/>
    </row>
    <row r="8" spans="1:4" ht="15.75" customHeight="1" x14ac:dyDescent="0.15">
      <c r="A8" s="5" t="s">
        <v>7</v>
      </c>
      <c r="B8" s="6" t="str">
        <f ca="1">IFERROR(__xludf.DUMMYFUNCTION("""COMPUTED_VALUE"""),"Yes")</f>
        <v>Yes</v>
      </c>
      <c r="C8" s="6" t="str">
        <f ca="1">IFERROR(__xludf.DUMMYFUNCTION("""COMPUTED_VALUE"""),"Longest ORF")</f>
        <v>Longest ORF</v>
      </c>
      <c r="D8" s="6"/>
    </row>
    <row r="9" spans="1:4" ht="15.75" customHeight="1" x14ac:dyDescent="0.15">
      <c r="A9" s="5" t="s">
        <v>8</v>
      </c>
      <c r="B9" s="6" t="str">
        <f ca="1">IFERROR(__xludf.DUMMYFUNCTION("""COMPUTED_VALUE"""),"11 nucleotide gap")</f>
        <v>11 nucleotide gap</v>
      </c>
      <c r="C9" s="6" t="str">
        <f ca="1">IFERROR(__xludf.DUMMYFUNCTION("""COMPUTED_VALUE"""),"Gap of 17 nucleotides")</f>
        <v>Gap of 17 nucleotides</v>
      </c>
      <c r="D9" s="6"/>
    </row>
    <row r="10" spans="1:4" ht="15.75" customHeight="1" x14ac:dyDescent="0.15">
      <c r="A10" s="5" t="s">
        <v>9</v>
      </c>
      <c r="B10" s="6" t="str">
        <f ca="1">IFERROR(__xludf.DUMMYFUNCTION("""COMPUTED_VALUE"""),"3.253, best score")</f>
        <v>3.253, best score</v>
      </c>
      <c r="C10" s="6" t="str">
        <f ca="1">IFERROR(__xludf.DUMMYFUNCTION("""COMPUTED_VALUE"""),"Start#1 z-score: 3.271, f-score: -1.931 Best score, not considering any other starts")</f>
        <v>Start#1 z-score: 3.271, f-score: -1.931 Best score, not considering any other starts</v>
      </c>
      <c r="D10" s="6"/>
    </row>
    <row r="11" spans="1:4" ht="15.75" customHeight="1" x14ac:dyDescent="0.15">
      <c r="A11" s="5" t="s">
        <v>10</v>
      </c>
      <c r="B11" s="6"/>
      <c r="C11" s="6" t="str">
        <f ca="1">IFERROR(__xludf.DUMMYFUNCTION("""COMPUTED_VALUE"""),"Nandita_10, 100% identity, eval: 0. Gusanita_10, 98.71% Identity, eval:0")</f>
        <v>Nandita_10, 100% identity, eval: 0. Gusanita_10, 98.71% Identity, eval:0</v>
      </c>
      <c r="D11" s="6"/>
    </row>
    <row r="12" spans="1:4" ht="15.75" customHeight="1" x14ac:dyDescent="0.15">
      <c r="A12" s="5" t="s">
        <v>11</v>
      </c>
      <c r="B12" s="6" t="str">
        <f ca="1">IFERROR(__xludf.DUMMYFUNCTION("""COMPUTED_VALUE"""),"Not conserved in all members, called 100% time when present")</f>
        <v>Not conserved in all members, called 100% time when present</v>
      </c>
      <c r="C12" s="6" t="str">
        <f ca="1">IFERROR(__xludf.DUMMYFUNCTION("""COMPUTED_VALUE"""),"found in 4.8% of genes in pham, called 100% of the time when present")</f>
        <v>found in 4.8% of genes in pham, called 100% of the time when present</v>
      </c>
      <c r="D12" s="6"/>
    </row>
    <row r="13" spans="1:4" ht="15.75" customHeight="1" x14ac:dyDescent="0.15">
      <c r="A13" s="5" t="s">
        <v>12</v>
      </c>
      <c r="B13" s="6" t="str">
        <f ca="1">IFERROR(__xludf.DUMMYFUNCTION("""COMPUTED_VALUE"""),"No ")</f>
        <v xml:space="preserve">No </v>
      </c>
      <c r="C13" s="6" t="str">
        <f ca="1">IFERROR(__xludf.DUMMYFUNCTION("""COMPUTED_VALUE"""),"Start not changed")</f>
        <v>Start not changed</v>
      </c>
      <c r="D13" s="6"/>
    </row>
    <row r="14" spans="1:4" ht="15.75" customHeight="1" x14ac:dyDescent="0.15">
      <c r="A14" s="5" t="s">
        <v>13</v>
      </c>
      <c r="B14" s="6" t="str">
        <f ca="1">IFERROR(__xludf.DUMMYFUNCTION("""COMPUTED_VALUE"""),"Nandita_10 1e-176, GoodLuckBabe_10 1e-175")</f>
        <v>Nandita_10 1e-176, GoodLuckBabe_10 1e-175</v>
      </c>
      <c r="C14" s="6" t="str">
        <f ca="1">IFERROR(__xludf.DUMMYFUNCTION("""COMPUTED_VALUE"""),"Lenoxika_10, 2e-176, Guinevera_10, 2e-176, Nandita_10, 2e-176")</f>
        <v>Lenoxika_10, 2e-176, Guinevera_10, 2e-176, Nandita_10, 2e-176</v>
      </c>
      <c r="D14" s="6"/>
    </row>
    <row r="15" spans="1:4" ht="15.75" customHeight="1" x14ac:dyDescent="0.15">
      <c r="A15" s="5" t="s">
        <v>14</v>
      </c>
      <c r="B15" s="6" t="str">
        <f ca="1">IFERROR(__xludf.DUMMYFUNCTION("""COMPUTED_VALUE"""),"major capsid protein")</f>
        <v>major capsid protein</v>
      </c>
      <c r="C15" s="6" t="str">
        <f ca="1">IFERROR(__xludf.DUMMYFUNCTION("""COMPUTED_VALUE"""),"Lenoxika_10 and Guinevera_10 have unknown functions, Nadita_10 is a major capsid protein")</f>
        <v>Lenoxika_10 and Guinevera_10 have unknown functions, Nadita_10 is a major capsid protein</v>
      </c>
      <c r="D15" s="6"/>
    </row>
    <row r="16" spans="1:4" ht="15.75" customHeight="1" x14ac:dyDescent="0.15">
      <c r="A16" s="5" t="s">
        <v>15</v>
      </c>
      <c r="B16" s="6" t="str">
        <f ca="1">IFERROR(__xludf.DUMMYFUNCTION("""COMPUTED_VALUE"""),"Found in similar environment in Nandita")</f>
        <v>Found in similar environment in Nandita</v>
      </c>
      <c r="C16" s="6" t="str">
        <f ca="1">IFERROR(__xludf.DUMMYFUNCTION("""COMPUTED_VALUE"""),"yes, 4-17 in Nandita")</f>
        <v>yes, 4-17 in Nandita</v>
      </c>
      <c r="D16" s="6"/>
    </row>
    <row r="17" spans="1:4" ht="15.75" customHeight="1" x14ac:dyDescent="0.15">
      <c r="A17" s="5" t="s">
        <v>16</v>
      </c>
      <c r="B17" s="6" t="str">
        <f ca="1">IFERROR(__xludf.DUMMYFUNCTION("""COMPUTED_VALUE"""),"A9CRA7	CAPSD_BPMR1 Major capsid protein, 99.88 probability, 99.68% Q, 98.18% T, Functional domain is in the target part of the alignment. ")</f>
        <v xml:space="preserve">A9CRA7	CAPSD_BPMR1 Major capsid protein, 99.88 probability, 99.68% Q, 98.18% T, Functional domain is in the target part of the alignment. </v>
      </c>
      <c r="C17" s="6" t="str">
        <f ca="1">IFERROR(__xludf.DUMMYFUNCTION("""COMPUTED_VALUE"""),"MAJOR CAPSID PROTEIN; VIRUS, VIRUS COAT PROTEIN, VIRUS/VIRAL PROTEIN, BACTERIOPHAGE, CAPSID, AUTO- CATALYTIC CROSS-LINK, ICOSAHEDRAL VIRUS; 3.45A {BACTERIOPHAGE HK97} SCOP: d.183.1.1, 99.88% probability, 85.11% allq, 93.26% allt. Functional domain is with"&amp;"in the target part of the alignment.")</f>
        <v>MAJOR CAPSID PROTEIN; VIRUS, VIRUS COAT PROTEIN, VIRUS/VIRAL PROTEIN, BACTERIOPHAGE, CAPSID, AUTO- CATALYTIC CROSS-LINK, ICOSAHEDRAL VIRUS; 3.45A {BACTERIOPHAGE HK97} SCOP: d.183.1.1, 99.88% probability, 85.11% allq, 93.26% allt. Functional domain is within the target part of the alignment.</v>
      </c>
      <c r="D17" s="6"/>
    </row>
    <row r="18" spans="1:4" ht="15.75" customHeight="1" x14ac:dyDescent="0.15">
      <c r="A18" s="5" t="s">
        <v>17</v>
      </c>
      <c r="B18" s="6" t="str">
        <f ca="1">IFERROR(__xludf.DUMMYFUNCTION("""COMPUTED_VALUE"""),"None")</f>
        <v>None</v>
      </c>
      <c r="C18" s="6" t="str">
        <f ca="1">IFERROR(__xludf.DUMMYFUNCTION("""COMPUTED_VALUE"""),"None")</f>
        <v>None</v>
      </c>
      <c r="D18" s="6"/>
    </row>
    <row r="19" spans="1:4" ht="15.75" customHeight="1" x14ac:dyDescent="0.15">
      <c r="A19" s="5" t="s">
        <v>18</v>
      </c>
      <c r="B19" s="6" t="str">
        <f ca="1">IFERROR(__xludf.DUMMYFUNCTION("""COMPUTED_VALUE"""),"None")</f>
        <v>None</v>
      </c>
      <c r="C19" s="6" t="str">
        <f ca="1">IFERROR(__xludf.DUMMYFUNCTION("""COMPUTED_VALUE"""),"None")</f>
        <v>None</v>
      </c>
      <c r="D19" s="6"/>
    </row>
    <row r="20" spans="1:4" ht="15.75" customHeight="1" x14ac:dyDescent="0.15">
      <c r="A20" s="5" t="s">
        <v>19</v>
      </c>
      <c r="B20" s="6" t="str">
        <f ca="1">IFERROR(__xludf.DUMMYFUNCTION("""COMPUTED_VALUE"""),"Major capsid protein")</f>
        <v>Major capsid protein</v>
      </c>
      <c r="C20" s="6" t="str">
        <f ca="1">IFERROR(__xludf.DUMMYFUNCTION("""COMPUTED_VALUE"""),"Major Capsid Protein, great hit in HHpred and most homologous genes share this function.")</f>
        <v>Major Capsid Protein, great hit in HHpred and most homologous genes share this function.</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IFERROR(__xludf.DUMMYFUNCTION("IMPORTRANGE(""https://docs.google.com/spreadsheets/d/1JcP72URjln8m_02QQGZH43HhxTMRpkReW-wbnKU8b-0"", ""S11!B1:B22"")"),"Josiah Bolton")</f>
        <v>Josiah Bolton</v>
      </c>
      <c r="C1" s="10" t="str">
        <f ca="1">IFERROR(__xludf.DUMMYFUNCTION("IMPORTRANGE(""https://docs.google.com/spreadsheets/d/1K_SrfyQXDNcl5UVETvGMAvEDUHr5HCmSgfuNiyo2M-k"", ""S11!B1:B22"")"),"Korie Hall")</f>
        <v>Korie Hall</v>
      </c>
      <c r="D1" s="2" t="s">
        <v>0</v>
      </c>
    </row>
    <row r="2" spans="1:4" ht="15.75" customHeight="1" x14ac:dyDescent="0.15">
      <c r="A2" s="3" t="s">
        <v>1</v>
      </c>
      <c r="B2" s="4" t="str">
        <f ca="1">IFERROR(__xludf.DUMMYFUNCTION("""COMPUTED_VALUE"""),"7523-7750 FOR")</f>
        <v>7523-7750 FOR</v>
      </c>
      <c r="C2" s="4" t="str">
        <f ca="1">IFERROR(__xludf.DUMMYFUNCTION("""COMPUTED_VALUE"""),"Start: 7523")</f>
        <v>Start: 7523</v>
      </c>
      <c r="D2" s="4"/>
    </row>
    <row r="3" spans="1:4" ht="15.75" customHeight="1" x14ac:dyDescent="0.15">
      <c r="A3" s="5" t="s">
        <v>2</v>
      </c>
      <c r="B3" s="6" t="str">
        <f ca="1">IFERROR(__xludf.DUMMYFUNCTION("""COMPUTED_VALUE"""),"10 in DNA Master
11 on Phamerator map")</f>
        <v>10 in DNA Master
11 on Phamerator map</v>
      </c>
      <c r="C3" s="6" t="str">
        <f ca="1">IFERROR(__xludf.DUMMYFUNCTION("""COMPUTED_VALUE"""),"DNA Master: Gene 10")</f>
        <v>DNA Master: Gene 10</v>
      </c>
      <c r="D3" s="6"/>
    </row>
    <row r="4" spans="1:4" ht="15.75" customHeight="1" x14ac:dyDescent="0.15">
      <c r="A4" s="5" t="s">
        <v>3</v>
      </c>
      <c r="B4" s="6" t="str">
        <f ca="1">IFERROR(__xludf.DUMMYFUNCTION("""COMPUTED_VALUE"""),"28339 4/1/2025")</f>
        <v>28339 4/1/2025</v>
      </c>
      <c r="C4" s="6">
        <f ca="1">IFERROR(__xludf.DUMMYFUNCTION("""COMPUTED_VALUE"""),28339)</f>
        <v>28339</v>
      </c>
      <c r="D4" s="6"/>
    </row>
    <row r="5" spans="1:4" ht="15.75" customHeight="1" x14ac:dyDescent="0.15">
      <c r="A5" s="5" t="s">
        <v>4</v>
      </c>
      <c r="B5" s="6" t="str">
        <f ca="1">IFERROR(__xludf.DUMMYFUNCTION("""COMPUTED_VALUE"""),"Nandita 11")</f>
        <v>Nandita 11</v>
      </c>
      <c r="C5" s="6" t="str">
        <f ca="1">IFERROR(__xludf.DUMMYFUNCTION("""COMPUTED_VALUE"""),"Nandita_11")</f>
        <v>Nandita_11</v>
      </c>
      <c r="D5" s="6"/>
    </row>
    <row r="6" spans="1:4" ht="15.75" customHeight="1" x14ac:dyDescent="0.15">
      <c r="A6" s="5" t="s">
        <v>5</v>
      </c>
      <c r="B6" s="6" t="str">
        <f ca="1">IFERROR(__xludf.DUMMYFUNCTION("""COMPUTED_VALUE"""),"Both call at 7523.")</f>
        <v>Both call at 7523.</v>
      </c>
      <c r="C6" s="6" t="str">
        <f ca="1">IFERROR(__xludf.DUMMYFUNCTION("""COMPUTED_VALUE"""),"Glimmer and GeneMark calls @7532")</f>
        <v>Glimmer and GeneMark calls @7532</v>
      </c>
      <c r="D6" s="6"/>
    </row>
    <row r="7" spans="1:4" ht="15.75" customHeight="1" x14ac:dyDescent="0.15">
      <c r="A7" s="5" t="s">
        <v>6</v>
      </c>
      <c r="B7" s="6" t="str">
        <f ca="1">IFERROR(__xludf.DUMMYFUNCTION("""COMPUTED_VALUE"""),"Has okay coding potential and all is captured.")</f>
        <v>Has okay coding potential and all is captured.</v>
      </c>
      <c r="C7" s="6" t="str">
        <f ca="1">IFERROR(__xludf.DUMMYFUNCTION("""COMPUTED_VALUE"""),"Gene codes for all potential included in the called start")</f>
        <v>Gene codes for all potential included in the called start</v>
      </c>
      <c r="D7" s="6"/>
    </row>
    <row r="8" spans="1:4" ht="15.75" customHeight="1" x14ac:dyDescent="0.15">
      <c r="A8" s="5" t="s">
        <v>7</v>
      </c>
      <c r="B8" s="6" t="str">
        <f ca="1">IFERROR(__xludf.DUMMYFUNCTION("""COMPUTED_VALUE"""),"This is not the longest ORF but the called start is a stronger one.")</f>
        <v>This is not the longest ORF but the called start is a stronger one.</v>
      </c>
      <c r="C8" s="6" t="str">
        <f ca="1">IFERROR(__xludf.DUMMYFUNCTION("""COMPUTED_VALUE"""),"No, one other possible start but the values aren't the best ")</f>
        <v xml:space="preserve">No, one other possible start but the values aren't the best </v>
      </c>
      <c r="D8" s="6"/>
    </row>
    <row r="9" spans="1:4" ht="15.75" customHeight="1" x14ac:dyDescent="0.15">
      <c r="A9" s="5" t="s">
        <v>8</v>
      </c>
      <c r="B9" s="6" t="str">
        <f ca="1">IFERROR(__xludf.DUMMYFUNCTION("""COMPUTED_VALUE"""),"2 nucleotide bp gap.")</f>
        <v>2 nucleotide bp gap.</v>
      </c>
      <c r="C9" s="6" t="str">
        <f ca="1">IFERROR(__xludf.DUMMYFUNCTION("""COMPUTED_VALUE"""),"3 bp overlap with Gene 10")</f>
        <v>3 bp overlap with Gene 10</v>
      </c>
      <c r="D9" s="6"/>
    </row>
    <row r="10" spans="1:4" ht="15.75" customHeight="1" x14ac:dyDescent="0.15">
      <c r="A10" s="5" t="s">
        <v>9</v>
      </c>
      <c r="B10" s="6" t="str">
        <f ca="1">IFERROR(__xludf.DUMMYFUNCTION("""COMPUTED_VALUE"""),"Z-score is 2.055 and final score is -4.523. This is the best score.")</f>
        <v>Z-score is 2.055 and final score is -4.523. This is the best score.</v>
      </c>
      <c r="C10" s="6" t="str">
        <f ca="1">IFERROR(__xludf.DUMMYFUNCTION("""COMPUTED_VALUE"""),"Z-score: 2.068")</f>
        <v>Z-score: 2.068</v>
      </c>
      <c r="D10" s="6"/>
    </row>
    <row r="11" spans="1:4" ht="15.75" customHeight="1" x14ac:dyDescent="0.15">
      <c r="A11" s="5" t="s">
        <v>10</v>
      </c>
      <c r="B11" s="6" t="str">
        <f ca="1">IFERROR(__xludf.DUMMYFUNCTION("""COMPUTED_VALUE"""),"Nandita 11 with % identity 100%, e value is 2.09e-45 q1:s1.")</f>
        <v>Nandita 11 with % identity 100%, e value is 2.09e-45 q1:s1.</v>
      </c>
      <c r="C11" s="6" t="str">
        <f ca="1">IFERROR(__xludf.DUMMYFUNCTION("""COMPUTED_VALUE"""),"Nandita_11 - % identity: 100% / e-value: 2e-45 / q1:s1")</f>
        <v>Nandita_11 - % identity: 100% / e-value: 2e-45 / q1:s1</v>
      </c>
      <c r="D11" s="6"/>
    </row>
    <row r="12" spans="1:4" ht="15.75" customHeight="1" x14ac:dyDescent="0.15">
      <c r="A12" s="5" t="s">
        <v>11</v>
      </c>
      <c r="B12" s="6" t="str">
        <f ca="1">IFERROR(__xludf.DUMMYFUNCTION("""COMPUTED_VALUE"""),"Start 2 is conserved in all members and is often called 100% of time when present.")</f>
        <v>Start 2 is conserved in all members and is often called 100% of time when present.</v>
      </c>
      <c r="C12" s="6" t="str">
        <f ca="1">IFERROR(__xludf.DUMMYFUNCTION("""COMPUTED_VALUE"""),"Found in 14 of 14 members of pham")</f>
        <v>Found in 14 of 14 members of pham</v>
      </c>
      <c r="D12" s="6"/>
    </row>
    <row r="13" spans="1:4" ht="15.75" customHeight="1" x14ac:dyDescent="0.15">
      <c r="A13" s="5" t="s">
        <v>12</v>
      </c>
      <c r="B13" s="6" t="str">
        <f ca="1">IFERROR(__xludf.DUMMYFUNCTION("""COMPUTED_VALUE"""),"No start change, because this called start is the best z-score.")</f>
        <v>No start change, because this called start is the best z-score.</v>
      </c>
      <c r="C13" s="6" t="str">
        <f ca="1">IFERROR(__xludf.DUMMYFUNCTION("""COMPUTED_VALUE"""),"Start codon has solid potential. Moving would create a bigger overlap.")</f>
        <v>Start codon has solid potential. Moving would create a bigger overlap.</v>
      </c>
      <c r="D13" s="6"/>
    </row>
    <row r="14" spans="1:4" ht="15.75" customHeight="1" x14ac:dyDescent="0.15">
      <c r="A14" s="5" t="s">
        <v>13</v>
      </c>
      <c r="B14" s="6" t="str">
        <f ca="1">IFERROR(__xludf.DUMMYFUNCTION("""COMPUTED_VALUE"""),"Nandita 11 e value is 2e-36. ")</f>
        <v xml:space="preserve">Nandita 11 e value is 2e-36. </v>
      </c>
      <c r="C14" s="6" t="str">
        <f ca="1">IFERROR(__xludf.DUMMYFUNCTION("""COMPUTED_VALUE"""),"Nandita_11 - e-value: 2e-36")</f>
        <v>Nandita_11 - e-value: 2e-36</v>
      </c>
      <c r="D14" s="6"/>
    </row>
    <row r="15" spans="1:4" ht="15.75" customHeight="1" x14ac:dyDescent="0.15">
      <c r="A15" s="5" t="s">
        <v>14</v>
      </c>
      <c r="B15" s="6" t="str">
        <f ca="1">IFERROR(__xludf.DUMMYFUNCTION("""COMPUTED_VALUE"""),"Unknown/hypothetical protein for Nandita 11.")</f>
        <v>Unknown/hypothetical protein for Nandita 11.</v>
      </c>
      <c r="C15" s="6" t="str">
        <f ca="1">IFERROR(__xludf.DUMMYFUNCTION("""COMPUTED_VALUE"""),"Hypothetical protein ")</f>
        <v xml:space="preserve">Hypothetical protein </v>
      </c>
      <c r="D15" s="6"/>
    </row>
    <row r="16" spans="1:4" ht="15.75" customHeight="1" x14ac:dyDescent="0.15">
      <c r="A16" s="5" t="s">
        <v>15</v>
      </c>
      <c r="B16" s="6" t="str">
        <f ca="1">IFERROR(__xludf.DUMMYFUNCTION("""COMPUTED_VALUE"""),"This would be expected in adjacent with Nandita 11.")</f>
        <v>This would be expected in adjacent with Nandita 11.</v>
      </c>
      <c r="C16" s="6" t="str">
        <f ca="1">IFERROR(__xludf.DUMMYFUNCTION("""COMPUTED_VALUE"""),"Function is to be expected / adjacent to Nandita_11")</f>
        <v>Function is to be expected / adjacent to Nandita_11</v>
      </c>
      <c r="D16" s="6"/>
    </row>
    <row r="17" spans="1:4" ht="15.75" customHeight="1" x14ac:dyDescent="0.15">
      <c r="A17" s="5" t="s">
        <v>16</v>
      </c>
      <c r="B17" s="6" t="str">
        <f ca="1">IFERROR(__xludf.DUMMYFUNCTION("""COMPUTED_VALUE"""),"Mu-like prophage FluMu protein gp35, Protein HI1507 in Mu-like prophage FluMu region; structural genomics, Haemophilus influenzae, hypothetical protein, Structure 2 Function Project, S2F, UNKNOWN FUNCTION; NMR {Haemophilus influenzae} SCOP: a.140.3.2, d.3"&amp;"44.1.1, l.1.1.1, probability is 94.4%, % alignment of query is 94.67% and % alignment of target is 54.20% Functional domain is mostly in target part of alignment as well as some disorder.")</f>
        <v>Mu-like prophage FluMu protein gp35, Protein HI1507 in Mu-like prophage FluMu region; structural genomics, Haemophilus influenzae, hypothetical protein, Structure 2 Function Project, S2F, UNKNOWN FUNCTION; NMR {Haemophilus influenzae} SCOP: a.140.3.2, d.344.1.1, l.1.1.1, probability is 94.4%, % alignment of query is 94.67% and % alignment of target is 54.20% Functional domain is mostly in target part of alignment as well as some disorder.</v>
      </c>
      <c r="C17" s="6" t="str">
        <f ca="1">IFERROR(__xludf.DUMMYFUNCTION("""COMPUTED_VALUE"""),"No reliable matches to document.")</f>
        <v>No reliable matches to document.</v>
      </c>
      <c r="D17" s="6"/>
    </row>
    <row r="18" spans="1:4" ht="15.75" customHeight="1" x14ac:dyDescent="0.15">
      <c r="A18" s="5" t="s">
        <v>17</v>
      </c>
      <c r="B18" s="6" t="str">
        <f ca="1">IFERROR(__xludf.DUMMYFUNCTION("""COMPUTED_VALUE"""),"Unknown.")</f>
        <v>Unknown.</v>
      </c>
      <c r="C18" s="6" t="str">
        <f ca="1">IFERROR(__xludf.DUMMYFUNCTION("""COMPUTED_VALUE"""),"No conserved domian identified")</f>
        <v>No conserved domian identified</v>
      </c>
      <c r="D18" s="6"/>
    </row>
    <row r="19" spans="1:4" ht="15.75" customHeight="1" x14ac:dyDescent="0.15">
      <c r="A19" s="5" t="s">
        <v>18</v>
      </c>
      <c r="B19" s="6" t="str">
        <f ca="1">IFERROR(__xludf.DUMMYFUNCTION("""COMPUTED_VALUE"""),"None.")</f>
        <v>None.</v>
      </c>
      <c r="C19" s="6" t="str">
        <f ca="1">IFERROR(__xludf.DUMMYFUNCTION("""COMPUTED_VALUE"""),"No membrane protein identified")</f>
        <v>No membrane protein identified</v>
      </c>
      <c r="D19" s="6"/>
    </row>
    <row r="20" spans="1:4" ht="15.75" customHeight="1" x14ac:dyDescent="0.15">
      <c r="A20" s="5" t="s">
        <v>19</v>
      </c>
      <c r="B20" s="6" t="str">
        <f ca="1">IFERROR(__xludf.DUMMYFUNCTION("""COMPUTED_VALUE"""),"Hypothetical Protein because the pham mainly consists of unknown functions. This can be the possibility for the entire pham to be full of hypothetical proteins. The HHPred matches mainly to a hypothetical protein as well.")</f>
        <v>Hypothetical Protein because the pham mainly consists of unknown functions. This can be the possibility for the entire pham to be full of hypothetical proteins. The HHPred matches mainly to a hypothetical protein as well.</v>
      </c>
      <c r="C20" s="6" t="str">
        <f ca="1">IFERROR(__xludf.DUMMYFUNCTION("""COMPUTED_VALUE"""),"Hypothetical protein ( Rationale: Not enough information on other members in the pham nor solid enough hits to give a definable function. ) ")</f>
        <v xml:space="preserve">Hypothetical protein ( Rationale: Not enough information on other members in the pham nor solid enough hits to give a definable function. ) </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0" t="str">
        <f ca="1">IFERROR(__xludf.DUMMYFUNCTION("IMPORTRANGE(""https://docs.google.com/spreadsheets/d/1K_SrfyQXDNcl5UVETvGMAvEDUHr5HCmSgfuNiyo2M-k"", ""S12!B1:B22"")"),"Korie Hall")</f>
        <v>Korie Hall</v>
      </c>
      <c r="C1" s="11" t="str">
        <f ca="1">IFERROR(__xludf.DUMMYFUNCTION("IMPORTRANGE(""https://docs.google.com/spreadsheets/d/1mDoveT5ogJcal0bN308rf9jioMYsAcKe21Otdt4nuTk"", ""S12!B1:B22"")"),"Put Your Name Here")</f>
        <v>Put Your Name Here</v>
      </c>
      <c r="D1" s="2" t="s">
        <v>0</v>
      </c>
    </row>
    <row r="2" spans="1:4" ht="15.75" customHeight="1" x14ac:dyDescent="0.15">
      <c r="A2" s="3" t="s">
        <v>1</v>
      </c>
      <c r="B2" s="4" t="str">
        <f ca="1">IFERROR(__xludf.DUMMYFUNCTION("""COMPUTED_VALUE"""),"Start: 7765")</f>
        <v>Start: 7765</v>
      </c>
      <c r="C2" s="4" t="str">
        <f ca="1">IFERROR(__xludf.DUMMYFUNCTION("""COMPUTED_VALUE"""),"7765 - 8166 FOW")</f>
        <v>7765 - 8166 FOW</v>
      </c>
      <c r="D2" s="4"/>
    </row>
    <row r="3" spans="1:4" ht="15.75" customHeight="1" x14ac:dyDescent="0.15">
      <c r="A3" s="5" t="s">
        <v>2</v>
      </c>
      <c r="B3" s="6" t="str">
        <f ca="1">IFERROR(__xludf.DUMMYFUNCTION("""COMPUTED_VALUE"""),"DNA Master: Gene 11")</f>
        <v>DNA Master: Gene 11</v>
      </c>
      <c r="C3" s="6" t="str">
        <f ca="1">IFERROR(__xludf.DUMMYFUNCTION("""COMPUTED_VALUE"""),"11_DNA Master
12_Phamerator")</f>
        <v>11_DNA Master
12_Phamerator</v>
      </c>
      <c r="D3" s="6"/>
    </row>
    <row r="4" spans="1:4" ht="15.75" customHeight="1" x14ac:dyDescent="0.15">
      <c r="A4" s="5" t="s">
        <v>3</v>
      </c>
      <c r="B4" s="6">
        <f ca="1">IFERROR(__xludf.DUMMYFUNCTION("""COMPUTED_VALUE"""),225865)</f>
        <v>225865</v>
      </c>
      <c r="C4" s="6" t="str">
        <f ca="1">IFERROR(__xludf.DUMMYFUNCTION("""COMPUTED_VALUE""")," 224226 3/31/25")</f>
        <v xml:space="preserve"> 224226 3/31/25</v>
      </c>
      <c r="D4" s="6"/>
    </row>
    <row r="5" spans="1:4" ht="15.75" customHeight="1" x14ac:dyDescent="0.15">
      <c r="A5" s="5" t="s">
        <v>4</v>
      </c>
      <c r="B5" s="6" t="str">
        <f ca="1">IFERROR(__xludf.DUMMYFUNCTION("""COMPUTED_VALUE"""),"Nandita_12")</f>
        <v>Nandita_12</v>
      </c>
      <c r="C5" s="6" t="str">
        <f ca="1">IFERROR(__xludf.DUMMYFUNCTION("""COMPUTED_VALUE"""),"Adelaide_8 Adora_8")</f>
        <v>Adelaide_8 Adora_8</v>
      </c>
      <c r="D5" s="6"/>
    </row>
    <row r="6" spans="1:4" ht="15.75" customHeight="1" x14ac:dyDescent="0.15">
      <c r="A6" s="5" t="s">
        <v>5</v>
      </c>
      <c r="B6" s="6" t="str">
        <f ca="1">IFERROR(__xludf.DUMMYFUNCTION("""COMPUTED_VALUE"""),"Glimmer and GeneMark call @7765")</f>
        <v>Glimmer and GeneMark call @7765</v>
      </c>
      <c r="C6" s="6" t="str">
        <f ca="1">IFERROR(__xludf.DUMMYFUNCTION("""COMPUTED_VALUE"""),"both call start 7765")</f>
        <v>both call start 7765</v>
      </c>
      <c r="D6" s="6"/>
    </row>
    <row r="7" spans="1:4" ht="15.75" customHeight="1" x14ac:dyDescent="0.15">
      <c r="A7" s="5" t="s">
        <v>6</v>
      </c>
      <c r="B7" s="6" t="str">
        <f ca="1">IFERROR(__xludf.DUMMYFUNCTION("""COMPUTED_VALUE"""),"All coding potential is included in the gene")</f>
        <v>All coding potential is included in the gene</v>
      </c>
      <c r="C7" s="6" t="str">
        <f ca="1">IFERROR(__xludf.DUMMYFUNCTION("""COMPUTED_VALUE"""),"yes")</f>
        <v>yes</v>
      </c>
      <c r="D7" s="6"/>
    </row>
    <row r="8" spans="1:4" ht="15.75" customHeight="1" x14ac:dyDescent="0.15">
      <c r="A8" s="5" t="s">
        <v>7</v>
      </c>
      <c r="B8" s="6" t="str">
        <f ca="1">IFERROR(__xludf.DUMMYFUNCTION("""COMPUTED_VALUE"""),"Yes")</f>
        <v>Yes</v>
      </c>
      <c r="C8" s="6" t="str">
        <f ca="1">IFERROR(__xludf.DUMMYFUNCTION("""COMPUTED_VALUE"""),"yes")</f>
        <v>yes</v>
      </c>
      <c r="D8" s="6"/>
    </row>
    <row r="9" spans="1:4" ht="15.75" customHeight="1" x14ac:dyDescent="0.15">
      <c r="A9" s="5" t="s">
        <v>8</v>
      </c>
      <c r="B9" s="6" t="str">
        <f ca="1">IFERROR(__xludf.DUMMYFUNCTION("""COMPUTED_VALUE"""),"15 bp overlap with Gene 11")</f>
        <v>15 bp overlap with Gene 11</v>
      </c>
      <c r="C9" s="6" t="str">
        <f ca="1">IFERROR(__xludf.DUMMYFUNCTION("""COMPUTED_VALUE"""),"17 nt gap ")</f>
        <v xml:space="preserve">17 nt gap </v>
      </c>
      <c r="D9" s="6"/>
    </row>
    <row r="10" spans="1:4" ht="15.75" customHeight="1" x14ac:dyDescent="0.15">
      <c r="A10" s="5" t="s">
        <v>9</v>
      </c>
      <c r="B10" s="6" t="str">
        <f ca="1">IFERROR(__xludf.DUMMYFUNCTION("""COMPUTED_VALUE"""),"Z-score: 2.617")</f>
        <v>Z-score: 2.617</v>
      </c>
      <c r="C10" s="6" t="str">
        <f ca="1">IFERROR(__xludf.DUMMYFUNCTION("""COMPUTED_VALUE"""),"current start has good Z-score (2.602)")</f>
        <v>current start has good Z-score (2.602)</v>
      </c>
      <c r="D10" s="6"/>
    </row>
    <row r="11" spans="1:4" ht="15.75" customHeight="1" x14ac:dyDescent="0.15">
      <c r="A11" s="5" t="s">
        <v>10</v>
      </c>
      <c r="B11" s="6" t="str">
        <f ca="1">IFERROR(__xludf.DUMMYFUNCTION("""COMPUTED_VALUE"""),"Nandita_12 - % identity: 100% / e-value: 7e-88")</f>
        <v>Nandita_12 - % identity: 100% / e-value: 7e-88</v>
      </c>
      <c r="C11" s="6" t="str">
        <f ca="1">IFERROR(__xludf.DUMMYFUNCTION("""COMPUTED_VALUE"""),"Nandita_12; 100% identity; 7.29133e-88")</f>
        <v>Nandita_12; 100% identity; 7.29133e-88</v>
      </c>
      <c r="D11" s="6"/>
    </row>
    <row r="12" spans="1:4" ht="15.75" customHeight="1" x14ac:dyDescent="0.15">
      <c r="A12" s="5" t="s">
        <v>11</v>
      </c>
      <c r="B12" s="6" t="str">
        <f ca="1">IFERROR(__xludf.DUMMYFUNCTION("""COMPUTED_VALUE"""),"Found in 156 of 259 members of the pham")</f>
        <v>Found in 156 of 259 members of the pham</v>
      </c>
      <c r="C12" s="6" t="str">
        <f ca="1">IFERROR(__xludf.DUMMYFUNCTION("""COMPUTED_VALUE"""),"no found 193 of 299")</f>
        <v>no found 193 of 299</v>
      </c>
      <c r="D12" s="6"/>
    </row>
    <row r="13" spans="1:4" ht="15.75" customHeight="1" x14ac:dyDescent="0.15">
      <c r="A13" s="5" t="s">
        <v>12</v>
      </c>
      <c r="B13" s="6" t="str">
        <f ca="1">IFERROR(__xludf.DUMMYFUNCTION("""COMPUTED_VALUE"""),"Start should remain as is. No other possible ORF and gene catches all coding potential ")</f>
        <v xml:space="preserve">Start should remain as is. No other possible ORF and gene catches all coding potential </v>
      </c>
      <c r="C13" s="6" t="str">
        <f ca="1">IFERROR(__xludf.DUMMYFUNCTION("""COMPUTED_VALUE"""),"no, although other starts have a decent Z-score, it would make a larger gap, current start is also supported by starterator ")</f>
        <v xml:space="preserve">no, although other starts have a decent Z-score, it would make a larger gap, current start is also supported by starterator </v>
      </c>
      <c r="D13" s="6"/>
    </row>
    <row r="14" spans="1:4" ht="15.75" customHeight="1" x14ac:dyDescent="0.15">
      <c r="A14" s="5" t="s">
        <v>13</v>
      </c>
      <c r="B14" s="6" t="str">
        <f ca="1">IFERROR(__xludf.DUMMYFUNCTION("""COMPUTED_VALUE"""),"Nandita_12 - e-value: 4e-73")</f>
        <v>Nandita_12 - e-value: 4e-73</v>
      </c>
      <c r="C14" s="6" t="str">
        <f ca="1">IFERROR(__xludf.DUMMYFUNCTION("""COMPUTED_VALUE"""),"GoodLuckBabe_Draft_12; 4e-73
Nandita_12; 4e-73")</f>
        <v>GoodLuckBabe_Draft_12; 4e-73
Nandita_12; 4e-73</v>
      </c>
      <c r="D14" s="6"/>
    </row>
    <row r="15" spans="1:4" ht="15.75" customHeight="1" x14ac:dyDescent="0.15">
      <c r="A15" s="5" t="s">
        <v>14</v>
      </c>
      <c r="B15" s="6" t="str">
        <f ca="1">IFERROR(__xludf.DUMMYFUNCTION("""COMPUTED_VALUE"""),"Head-To-Tail Adaptor ")</f>
        <v xml:space="preserve">Head-To-Tail Adaptor </v>
      </c>
      <c r="C15" s="6" t="str">
        <f ca="1">IFERROR(__xludf.DUMMYFUNCTION("""COMPUTED_VALUE"""),"	function unknown
head-to-tail adaptor")</f>
        <v xml:space="preserve">	function unknown
head-to-tail adaptor</v>
      </c>
      <c r="D15" s="6"/>
    </row>
    <row r="16" spans="1:4" ht="15.75" customHeight="1" x14ac:dyDescent="0.15">
      <c r="A16" s="5" t="s">
        <v>15</v>
      </c>
      <c r="B16" s="6" t="str">
        <f ca="1">IFERROR(__xludf.DUMMYFUNCTION("""COMPUTED_VALUE"""),"Function is as expected / adjacent to Nandita_12")</f>
        <v>Function is as expected / adjacent to Nandita_12</v>
      </c>
      <c r="C16" s="6" t="str">
        <f ca="1">IFERROR(__xludf.DUMMYFUNCTION("""COMPUTED_VALUE"""),"found in very similar environments to both phages ")</f>
        <v xml:space="preserve">found in very similar environments to both phages </v>
      </c>
      <c r="D16" s="6"/>
    </row>
    <row r="17" spans="1:4" ht="15.75" customHeight="1" x14ac:dyDescent="0.15">
      <c r="A17" s="5" t="s">
        <v>16</v>
      </c>
      <c r="B17" s="6" t="str">
        <f ca="1">IFERROR(__xludf.DUMMYFUNCTION("""COMPUTED_VALUE"""),"Head-to-tail adaptor; Bacteriophage, portal, VIRAL PROTEIN;{Mycobacterium phage Bxb1}")</f>
        <v>Head-to-tail adaptor; Bacteriophage, portal, VIRAL PROTEIN;{Mycobacterium phage Bxb1}</v>
      </c>
      <c r="C17" s="6" t="str">
        <f ca="1">IFERROR(__xludf.DUMMYFUNCTION("""COMPUTED_VALUE"""),"Head-to-tail adaptor; Bacteriophage, portal, VIRAL PROTEIN;{Mycobacterium phage Bxb1}
probability: 99.9%
% alignment Q: 90.98%
% alignment T:  96.80%
Phage_Gp19 ; Phage protein Gp19/Gp15/Gp42
probability:  99.8%
% alignment Q: 80.45%
% alignment T: 92.24"&amp;"%")</f>
        <v>Head-to-tail adaptor; Bacteriophage, portal, VIRAL PROTEIN;{Mycobacterium phage Bxb1}
probability: 99.9%
% alignment Q: 90.98%
% alignment T:  96.80%
Phage_Gp19 ; Phage protein Gp19/Gp15/Gp42
probability:  99.8%
% alignment Q: 80.45%
% alignment T: 92.24%</v>
      </c>
      <c r="D17" s="6"/>
    </row>
    <row r="18" spans="1:4" ht="15.75" customHeight="1" x14ac:dyDescent="0.15">
      <c r="A18" s="5" t="s">
        <v>17</v>
      </c>
      <c r="B18" s="6" t="str">
        <f ca="1">IFERROR(__xludf.DUMMYFUNCTION("""COMPUTED_VALUE"""),"No conserved domain identified")</f>
        <v>No conserved domain identified</v>
      </c>
      <c r="C18" s="6" t="str">
        <f ca="1">IFERROR(__xludf.DUMMYFUNCTION("""COMPUTED_VALUE"""),"no ")</f>
        <v xml:space="preserve">no </v>
      </c>
      <c r="D18" s="6"/>
    </row>
    <row r="19" spans="1:4" ht="15.75" customHeight="1" x14ac:dyDescent="0.15">
      <c r="A19" s="5" t="s">
        <v>18</v>
      </c>
      <c r="B19" s="6" t="str">
        <f ca="1">IFERROR(__xludf.DUMMYFUNCTION("""COMPUTED_VALUE"""),"No membrane protein identified")</f>
        <v>No membrane protein identified</v>
      </c>
      <c r="C19" s="6" t="str">
        <f ca="1">IFERROR(__xludf.DUMMYFUNCTION("""COMPUTED_VALUE"""),"no ")</f>
        <v xml:space="preserve">no </v>
      </c>
      <c r="D19" s="6"/>
    </row>
    <row r="20" spans="1:4" ht="15.75" customHeight="1" x14ac:dyDescent="0.15">
      <c r="A20" s="5" t="s">
        <v>19</v>
      </c>
      <c r="B20" s="6" t="str">
        <f ca="1">IFERROR(__xludf.DUMMYFUNCTION("""COMPUTED_VALUE"""),"Head-To-Tail Adaptor ( Raionale: Almost every identified members in the pham have a function of head-to-tail adaptor. There is reliable enough data in HHPred, matching genes, and Phamerator to make this conclusion. ) ")</f>
        <v xml:space="preserve">Head-To-Tail Adaptor ( Raionale: Almost every identified members in the pham have a function of head-to-tail adaptor. There is reliable enough data in HHPred, matching genes, and Phamerator to make this conclusion. ) </v>
      </c>
      <c r="C20" s="6" t="str">
        <f ca="1">IFERROR(__xludf.DUMMYFUNCTION("""COMPUTED_VALUE"""),"head-to-tail adaptor, has HHpred results for the crystal structure SPP1 15, as well as other calls to head-to-tail adaptors ")</f>
        <v xml:space="preserve">head-to-tail adaptor, has HHpred results for the crystal structure SPP1 15, as well as other calls to head-to-tail adaptors </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IFERROR(__xludf.DUMMYFUNCTION("IMPORTRANGE(""https://docs.google.com/spreadsheets/d/1JcP72URjln8m_02QQGZH43HhxTMRpkReW-wbnKU8b-0"", ""S13!B1:B22"")"),"Josiah Bolton")</f>
        <v>Josiah Bolton</v>
      </c>
      <c r="C1" s="11" t="str">
        <f ca="1">IFERROR(__xludf.DUMMYFUNCTION("IMPORTRANGE(""https://docs.google.com/spreadsheets/d/14y37YetMnZx9r75GG6HNm6HxdMfX_704WhJDUt8FSgU"", ""S13!B1:B22"")"),"Braden Brennan")</f>
        <v>Braden Brennan</v>
      </c>
      <c r="D1" s="2" t="s">
        <v>0</v>
      </c>
    </row>
    <row r="2" spans="1:4" ht="15.75" customHeight="1" x14ac:dyDescent="0.15">
      <c r="A2" s="3" t="s">
        <v>1</v>
      </c>
      <c r="B2" s="4" t="str">
        <f ca="1">IFERROR(__xludf.DUMMYFUNCTION("""COMPUTED_VALUE"""),"8166-8498 FOR")</f>
        <v>8166-8498 FOR</v>
      </c>
      <c r="C2" s="4" t="str">
        <f ca="1">IFERROR(__xludf.DUMMYFUNCTION("""COMPUTED_VALUE"""),"8166 - 8498 forward")</f>
        <v>8166 - 8498 forward</v>
      </c>
      <c r="D2" s="4"/>
    </row>
    <row r="3" spans="1:4" ht="15.75" customHeight="1" x14ac:dyDescent="0.15">
      <c r="A3" s="5" t="s">
        <v>2</v>
      </c>
      <c r="B3" s="6" t="str">
        <f ca="1">IFERROR(__xludf.DUMMYFUNCTION("""COMPUTED_VALUE"""),"12 in DNA Master
13 on Phamerator map")</f>
        <v>12 in DNA Master
13 on Phamerator map</v>
      </c>
      <c r="C3" s="6" t="str">
        <f ca="1">IFERROR(__xludf.DUMMYFUNCTION("""COMPUTED_VALUE"""),"13 on DNAM and PHAM")</f>
        <v>13 on DNAM and PHAM</v>
      </c>
      <c r="D3" s="6"/>
    </row>
    <row r="4" spans="1:4" ht="15.75" customHeight="1" x14ac:dyDescent="0.15">
      <c r="A4" s="5" t="s">
        <v>3</v>
      </c>
      <c r="B4" s="6" t="str">
        <f ca="1">IFERROR(__xludf.DUMMYFUNCTION("""COMPUTED_VALUE"""),"6110 4/2/2025")</f>
        <v>6110 4/2/2025</v>
      </c>
      <c r="C4" s="6" t="str">
        <f ca="1">IFERROR(__xludf.DUMMYFUNCTION("""COMPUTED_VALUE"""),"pham 6110   - 4/2/2025")</f>
        <v>pham 6110   - 4/2/2025</v>
      </c>
      <c r="D4" s="6"/>
    </row>
    <row r="5" spans="1:4" ht="15.75" customHeight="1" x14ac:dyDescent="0.15">
      <c r="A5" s="5" t="s">
        <v>4</v>
      </c>
      <c r="B5" s="6" t="str">
        <f ca="1">IFERROR(__xludf.DUMMYFUNCTION("""COMPUTED_VALUE"""),"Nandita 13")</f>
        <v>Nandita 13</v>
      </c>
      <c r="C5" s="6"/>
      <c r="D5" s="6"/>
    </row>
    <row r="6" spans="1:4" ht="15.75" customHeight="1" x14ac:dyDescent="0.15">
      <c r="A6" s="5" t="s">
        <v>5</v>
      </c>
      <c r="B6" s="6" t="str">
        <f ca="1">IFERROR(__xludf.DUMMYFUNCTION("""COMPUTED_VALUE"""),"Both call at 8166.")</f>
        <v>Both call at 8166.</v>
      </c>
      <c r="C6" s="6" t="str">
        <f ca="1">IFERROR(__xludf.DUMMYFUNCTION("""COMPUTED_VALUE"""),"glimmer call bp 8166 strength 3.83")</f>
        <v>glimmer call bp 8166 strength 3.83</v>
      </c>
      <c r="D6" s="6"/>
    </row>
    <row r="7" spans="1:4" ht="15.75" customHeight="1" x14ac:dyDescent="0.15">
      <c r="A7" s="5" t="s">
        <v>6</v>
      </c>
      <c r="B7" s="6" t="str">
        <f ca="1">IFERROR(__xludf.DUMMYFUNCTION("""COMPUTED_VALUE"""),"There is coding potential and all is captured.")</f>
        <v>There is coding potential and all is captured.</v>
      </c>
      <c r="C7" s="6" t="str">
        <f ca="1">IFERROR(__xludf.DUMMYFUNCTION("""COMPUTED_VALUE"""),"Could be worse but quite bad")</f>
        <v>Could be worse but quite bad</v>
      </c>
      <c r="D7" s="6"/>
    </row>
    <row r="8" spans="1:4" ht="15.75" customHeight="1" x14ac:dyDescent="0.15">
      <c r="A8" s="5" t="s">
        <v>7</v>
      </c>
      <c r="B8" s="6" t="str">
        <f ca="1">IFERROR(__xludf.DUMMYFUNCTION("""COMPUTED_VALUE"""),"Not the longest ORF but the longest one is weak.")</f>
        <v>Not the longest ORF but the longest one is weak.</v>
      </c>
      <c r="C8" s="6" t="str">
        <f ca="1">IFERROR(__xludf.DUMMYFUNCTION("""COMPUTED_VALUE"""),"the chosen start is not the longest")</f>
        <v>the chosen start is not the longest</v>
      </c>
      <c r="D8" s="6"/>
    </row>
    <row r="9" spans="1:4" ht="15.75" customHeight="1" x14ac:dyDescent="0.15">
      <c r="A9" s="5" t="s">
        <v>8</v>
      </c>
      <c r="B9" s="6" t="str">
        <f ca="1">IFERROR(__xludf.DUMMYFUNCTION("""COMPUTED_VALUE"""),"0 nucleotide overlap. previous gene stops at the start for gene 13.")</f>
        <v>0 nucleotide overlap. previous gene stops at the start for gene 13.</v>
      </c>
      <c r="C9" s="6" t="str">
        <f ca="1">IFERROR(__xludf.DUMMYFUNCTION("""COMPUTED_VALUE"""),"1 nuceotide overlap")</f>
        <v>1 nuceotide overlap</v>
      </c>
      <c r="D9" s="6"/>
    </row>
    <row r="10" spans="1:4" ht="15.75" customHeight="1" x14ac:dyDescent="0.15">
      <c r="A10" s="5" t="s">
        <v>9</v>
      </c>
      <c r="B10" s="6" t="str">
        <f ca="1">IFERROR(__xludf.DUMMYFUNCTION("""COMPUTED_VALUE"""),"Z-score for chosen start is -2.638 and the final score is -4.058. This is the best score.")</f>
        <v>Z-score for chosen start is -2.638 and the final score is -4.058. This is the best score.</v>
      </c>
      <c r="C10" s="6" t="str">
        <f ca="1">IFERROR(__xludf.DUMMYFUNCTION("""COMPUTED_VALUE"""),"SD: -2.535, Z: 2.654, FINAL: -4.058")</f>
        <v>SD: -2.535, Z: 2.654, FINAL: -4.058</v>
      </c>
      <c r="D10" s="6"/>
    </row>
    <row r="11" spans="1:4" ht="15.75" customHeight="1" x14ac:dyDescent="0.15">
      <c r="A11" s="5" t="s">
        <v>10</v>
      </c>
      <c r="B11" s="6" t="str">
        <f ca="1">IFERROR(__xludf.DUMMYFUNCTION("""COMPUTED_VALUE"""),"Nandita 13 % identity is 100% e value is 1.00e-71, q1:s1")</f>
        <v>Nandita 13 % identity is 100% e value is 1.00e-71, q1:s1</v>
      </c>
      <c r="C11" s="6" t="str">
        <f ca="1">IFERROR(__xludf.DUMMYFUNCTION("""COMPUTED_VALUE"""),"[Arthrobacter phage Nandita head-to-tail stopper] - 100% identity, 1.00321e-71")</f>
        <v>[Arthrobacter phage Nandita head-to-tail stopper] - 100% identity, 1.00321e-71</v>
      </c>
      <c r="D11" s="6"/>
    </row>
    <row r="12" spans="1:4" ht="15.75" customHeight="1" x14ac:dyDescent="0.15">
      <c r="A12" s="5" t="s">
        <v>11</v>
      </c>
      <c r="B12" s="6" t="str">
        <f ca="1">IFERROR(__xludf.DUMMYFUNCTION("""COMPUTED_VALUE"""),"Start 9 is conserved in a good number of the pham and is called 100% of time when present.")</f>
        <v>Start 9 is conserved in a good number of the pham and is called 100% of time when present.</v>
      </c>
      <c r="C12" s="6" t="str">
        <f ca="1">IFERROR(__xludf.DUMMYFUNCTION("""COMPUTED_VALUE"""),"Found in 13 of 27 ( 48.1% ) of genes in pham called 100% of the time")</f>
        <v>Found in 13 of 27 ( 48.1% ) of genes in pham called 100% of the time</v>
      </c>
      <c r="D12" s="6"/>
    </row>
    <row r="13" spans="1:4" ht="15.75" customHeight="1" x14ac:dyDescent="0.15">
      <c r="A13" s="5" t="s">
        <v>12</v>
      </c>
      <c r="B13" s="6" t="str">
        <f ca="1">IFERROR(__xludf.DUMMYFUNCTION("""COMPUTED_VALUE"""),"No start change because this is the best z-score for the called start.")</f>
        <v>No start change because this is the best z-score for the called start.</v>
      </c>
      <c r="C13" s="6" t="str">
        <f ca="1">IFERROR(__xludf.DUMMYFUNCTION("""COMPUTED_VALUE"""),"no start changed. better Z score than others")</f>
        <v>no start changed. better Z score than others</v>
      </c>
      <c r="D13" s="6"/>
    </row>
    <row r="14" spans="1:4" ht="15.75" customHeight="1" x14ac:dyDescent="0.15">
      <c r="A14" s="5" t="s">
        <v>13</v>
      </c>
      <c r="B14" s="6" t="str">
        <f ca="1">IFERROR(__xludf.DUMMYFUNCTION("""COMPUTED_VALUE"""),"Nandita 13 e value is 2e-60.")</f>
        <v>Nandita 13 e value is 2e-60.</v>
      </c>
      <c r="C14" s="6" t="str">
        <f ca="1">IFERROR(__xludf.DUMMYFUNCTION("""COMPUTED_VALUE"""),"Nandita_13 (head-to-tail stopper) and Cole_11 (head to tail stopper)")</f>
        <v>Nandita_13 (head-to-tail stopper) and Cole_11 (head to tail stopper)</v>
      </c>
      <c r="D14" s="6"/>
    </row>
    <row r="15" spans="1:4" ht="15.75" customHeight="1" x14ac:dyDescent="0.15">
      <c r="A15" s="5" t="s">
        <v>14</v>
      </c>
      <c r="B15" s="6" t="str">
        <f ca="1">IFERROR(__xludf.DUMMYFUNCTION("""COMPUTED_VALUE"""),"Nandita 13 is a head-to-tail-stopper")</f>
        <v>Nandita 13 is a head-to-tail-stopper</v>
      </c>
      <c r="C15" s="6" t="str">
        <f ca="1">IFERROR(__xludf.DUMMYFUNCTION("""COMPUTED_VALUE"""),"Head to tail stopper")</f>
        <v>Head to tail stopper</v>
      </c>
      <c r="D15" s="6"/>
    </row>
    <row r="16" spans="1:4" ht="15.75" customHeight="1" x14ac:dyDescent="0.15">
      <c r="A16" s="5" t="s">
        <v>15</v>
      </c>
      <c r="B16" s="6" t="str">
        <f ca="1">IFERROR(__xludf.DUMMYFUNCTION("""COMPUTED_VALUE"""),"This function would be expected in this part of the genome.")</f>
        <v>This function would be expected in this part of the genome.</v>
      </c>
      <c r="C16" s="6" t="str">
        <f ca="1">IFERROR(__xludf.DUMMYFUNCTION("""COMPUTED_VALUE"""),"good synteny and fits well in the code")</f>
        <v>good synteny and fits well in the code</v>
      </c>
      <c r="D16" s="6"/>
    </row>
    <row r="17" spans="1:4" ht="15.75" customHeight="1" x14ac:dyDescent="0.15">
      <c r="A17" s="5" t="s">
        <v>16</v>
      </c>
      <c r="B17" s="6" t="str">
        <f ca="1">IFERROR(__xludf.DUMMYFUNCTION("""COMPUTED_VALUE"""),"Head-to-tail stopper; Bacteriophage, portal, VIRAL PROTEIN;{Mycobacterium phage Bxb1}, probability is 99.43%, % alignment of query is 93.64%, and % alignment of target is 81.75%. Thhe funtional domain is not in target part of alignment.")</f>
        <v>Head-to-tail stopper; Bacteriophage, portal, VIRAL PROTEIN;{Mycobacterium phage Bxb1}, probability is 99.43%, % alignment of query is 93.64%, and % alignment of target is 81.75%. Thhe funtional domain is not in target part of alignment.</v>
      </c>
      <c r="C17" s="6" t="str">
        <f ca="1">IFERROR(__xludf.DUMMYFUNCTION("""COMPUTED_VALUE"""),"9D94_Hc: Head-to-tail stopper- 99.4% 2.1e-11")</f>
        <v>9D94_Hc: Head-to-tail stopper- 99.4% 2.1e-11</v>
      </c>
      <c r="D17" s="6"/>
    </row>
    <row r="18" spans="1:4" ht="15.75" customHeight="1" x14ac:dyDescent="0.15">
      <c r="A18" s="5" t="s">
        <v>17</v>
      </c>
      <c r="B18" s="6" t="str">
        <f ca="1">IFERROR(__xludf.DUMMYFUNCTION("""COMPUTED_VALUE"""),"Unknown.")</f>
        <v>Unknown.</v>
      </c>
      <c r="C18" s="6" t="str">
        <f ca="1">IFERROR(__xludf.DUMMYFUNCTION("""COMPUTED_VALUE"""),"no conserve domain")</f>
        <v>no conserve domain</v>
      </c>
      <c r="D18" s="6"/>
    </row>
    <row r="19" spans="1:4" ht="15.75" customHeight="1" x14ac:dyDescent="0.15">
      <c r="A19" s="5" t="s">
        <v>18</v>
      </c>
      <c r="B19" s="6" t="str">
        <f ca="1">IFERROR(__xludf.DUMMYFUNCTION("""COMPUTED_VALUE"""),"Yes, 
deeptmhmm
Query Start (Amino Acid Position): 1
Query End (Amino Acid Position): 12
Type: signal")</f>
        <v>Yes, 
deeptmhmm
Query Start (Amino Acid Position): 1
Query End (Amino Acid Position): 12
Type: signal</v>
      </c>
      <c r="C19" s="6" t="str">
        <f ca="1">IFERROR(__xludf.DUMMYFUNCTION("""COMPUTED_VALUE"""),"amino acids 1-12 are sequence signaling")</f>
        <v>amino acids 1-12 are sequence signaling</v>
      </c>
      <c r="D19" s="6"/>
    </row>
    <row r="20" spans="1:4" ht="15.75" customHeight="1" x14ac:dyDescent="0.15">
      <c r="A20" s="5" t="s">
        <v>19</v>
      </c>
      <c r="B20" s="6" t="str">
        <f ca="1">IFERROR(__xludf.DUMMYFUNCTION("""COMPUTED_VALUE"""),"head-to-tail-stopper because of the good alignment and synteny with Nandita 13. PhagesDB, HHPred, and PECAAN help come to this conclusion.")</f>
        <v>head-to-tail-stopper because of the good alignment and synteny with Nandita 13. PhagesDB, HHPred, and PECAAN help come to this conclusion.</v>
      </c>
      <c r="C20" s="6" t="str">
        <f ca="1">IFERROR(__xludf.DUMMYFUNCTION("""COMPUTED_VALUE"""),"Most likely a Head to tail stopper")</f>
        <v>Most likely a Head to tail stopper</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IFERROR(__xludf.DUMMYFUNCTION("IMPORTRANGE(""https://docs.google.com/spreadsheets/d/1mDoveT5ogJcal0bN308rf9jioMYsAcKe21Otdt4nuTk"", ""S14!B1:B22"")"),"Put Your Name Here")</f>
        <v>Put Your Name Here</v>
      </c>
      <c r="C1" s="11" t="str">
        <f ca="1">IFERROR(__xludf.DUMMYFUNCTION("IMPORTRANGE(""https://docs.google.com/spreadsheets/d/1NBZgc2wQWlGwpwt7AcCySCDz0bod7B0VKf0lrtlBP8Q"", ""S14!B1:B22"")"),"Jackson Root")</f>
        <v>Jackson Root</v>
      </c>
      <c r="D1" s="2" t="s">
        <v>0</v>
      </c>
    </row>
    <row r="2" spans="1:4" ht="15.75" customHeight="1" x14ac:dyDescent="0.15">
      <c r="A2" s="3" t="s">
        <v>1</v>
      </c>
      <c r="B2" s="4" t="str">
        <f ca="1">IFERROR(__xludf.DUMMYFUNCTION("""COMPUTED_VALUE"""),"8462 - 8770 FOW")</f>
        <v>8462 - 8770 FOW</v>
      </c>
      <c r="C2" s="4" t="str">
        <f ca="1">IFERROR(__xludf.DUMMYFUNCTION("""COMPUTED_VALUE"""),"Start: 8462; Stop: 8770  Forward")</f>
        <v>Start: 8462; Stop: 8770  Forward</v>
      </c>
      <c r="D2" s="4"/>
    </row>
    <row r="3" spans="1:4" ht="15.75" customHeight="1" x14ac:dyDescent="0.15">
      <c r="A3" s="5" t="s">
        <v>2</v>
      </c>
      <c r="B3" s="6" t="str">
        <f ca="1">IFERROR(__xludf.DUMMYFUNCTION("""COMPUTED_VALUE"""),"DNA Master_13
Phamerator_14")</f>
        <v>DNA Master_13
Phamerator_14</v>
      </c>
      <c r="C3" s="6" t="str">
        <f ca="1">IFERROR(__xludf.DUMMYFUNCTION("""COMPUTED_VALUE"""),"Pham: 14; DNA: 13")</f>
        <v>Pham: 14; DNA: 13</v>
      </c>
      <c r="D3" s="6"/>
    </row>
    <row r="4" spans="1:4" ht="15.75" customHeight="1" x14ac:dyDescent="0.15">
      <c r="A4" s="5" t="s">
        <v>3</v>
      </c>
      <c r="B4" s="6" t="str">
        <f ca="1">IFERROR(__xludf.DUMMYFUNCTION("""COMPUTED_VALUE"""),"135954 3/31/25")</f>
        <v>135954 3/31/25</v>
      </c>
      <c r="C4" s="6" t="str">
        <f ca="1">IFERROR(__xludf.DUMMYFUNCTION("""COMPUTED_VALUE"""),"pham 135954  04/01/25")</f>
        <v>pham 135954  04/01/25</v>
      </c>
      <c r="D4" s="6"/>
    </row>
    <row r="5" spans="1:4" ht="15.75" customHeight="1" x14ac:dyDescent="0.15">
      <c r="A5" s="5" t="s">
        <v>4</v>
      </c>
      <c r="B5" s="6" t="str">
        <f ca="1">IFERROR(__xludf.DUMMYFUNCTION("""COMPUTED_VALUE"""),"Nandita_14")</f>
        <v>Nandita_14</v>
      </c>
      <c r="C5" s="6"/>
      <c r="D5" s="6"/>
    </row>
    <row r="6" spans="1:4" ht="15.75" customHeight="1" x14ac:dyDescent="0.15">
      <c r="A6" s="5" t="s">
        <v>5</v>
      </c>
      <c r="B6" s="6" t="str">
        <f ca="1">IFERROR(__xludf.DUMMYFUNCTION("""COMPUTED_VALUE"""),"Glimmer calls 8462
Genemarks calls 8495")</f>
        <v>Glimmer calls 8462
Genemarks calls 8495</v>
      </c>
      <c r="C6" s="6" t="str">
        <f ca="1">IFERROR(__xludf.DUMMYFUNCTION("""COMPUTED_VALUE"""),"Glimmer call: 8462, Gene call: 8495")</f>
        <v>Glimmer call: 8462, Gene call: 8495</v>
      </c>
      <c r="D6" s="6"/>
    </row>
    <row r="7" spans="1:4" ht="15.75" customHeight="1" x14ac:dyDescent="0.15">
      <c r="A7" s="5" t="s">
        <v>6</v>
      </c>
      <c r="B7" s="6" t="str">
        <f ca="1">IFERROR(__xludf.DUMMYFUNCTION("""COMPUTED_VALUE"""),"Current start has low potential but coding potential increases at around nt 8500.")</f>
        <v>Current start has low potential but coding potential increases at around nt 8500.</v>
      </c>
      <c r="C7" s="6" t="str">
        <f ca="1">IFERROR(__xludf.DUMMYFUNCTION("""COMPUTED_VALUE"""),"there is coding potential, but finding teh starts that are being call is difficult because it spans two different pages")</f>
        <v>there is coding potential, but finding teh starts that are being call is difficult because it spans two different pages</v>
      </c>
      <c r="D7" s="6"/>
    </row>
    <row r="8" spans="1:4" ht="15.75" customHeight="1" x14ac:dyDescent="0.15">
      <c r="A8" s="5" t="s">
        <v>7</v>
      </c>
      <c r="B8" s="6" t="str">
        <f ca="1">IFERROR(__xludf.DUMMYFUNCTION("""COMPUTED_VALUE"""),"no, there is a previous start ")</f>
        <v xml:space="preserve">no, there is a previous start </v>
      </c>
      <c r="C8" s="6" t="str">
        <f ca="1">IFERROR(__xludf.DUMMYFUNCTION("""COMPUTED_VALUE"""),"no there is another start further upstream from the glimmer call")</f>
        <v>no there is another start further upstream from the glimmer call</v>
      </c>
      <c r="D8" s="6"/>
    </row>
    <row r="9" spans="1:4" ht="15.75" customHeight="1" x14ac:dyDescent="0.15">
      <c r="A9" s="5" t="s">
        <v>8</v>
      </c>
      <c r="B9" s="6" t="str">
        <f ca="1">IFERROR(__xludf.DUMMYFUNCTION("""COMPUTED_VALUE"""),"34 nt overlap ")</f>
        <v xml:space="preserve">34 nt overlap </v>
      </c>
      <c r="C9" s="6" t="str">
        <f ca="1">IFERROR(__xludf.DUMMYFUNCTION("""COMPUTED_VALUE"""),"with glimmer call: 36 bp overlap with gene #12 (DNA); With genemark: 3 bp overlap with Gene 312 (DNA) ")</f>
        <v xml:space="preserve">with glimmer call: 36 bp overlap with gene #12 (DNA); With genemark: 3 bp overlap with Gene 312 (DNA) </v>
      </c>
      <c r="D9" s="6"/>
    </row>
    <row r="10" spans="1:4" ht="15.75" customHeight="1" x14ac:dyDescent="0.15">
      <c r="A10" s="5" t="s">
        <v>9</v>
      </c>
      <c r="B10" s="6" t="str">
        <f ca="1">IFERROR(__xludf.DUMMYFUNCTION("""COMPUTED_VALUE"""),"current start has a good Zscore (2.454) but start 5 at nt 8585 has a better score (2.532) this would create a very large gap. The start that would overlap the lease would be start 3 at nt 8495 but it has a poor score (1.138)")</f>
        <v>current start has a good Zscore (2.454) but start 5 at nt 8585 has a better score (2.532) this would create a very large gap. The start that would overlap the lease would be start 3 at nt 8495 but it has a poor score (1.138)</v>
      </c>
      <c r="C10" s="6" t="str">
        <f ca="1">IFERROR(__xludf.DUMMYFUNCTION("""COMPUTED_VALUE"""),"Glimmer: Z: 2.454, Final: -5.256; Gene: Z: 1.138; Final: -6.558")</f>
        <v>Glimmer: Z: 2.454, Final: -5.256; Gene: Z: 1.138; Final: -6.558</v>
      </c>
      <c r="D10" s="6"/>
    </row>
    <row r="11" spans="1:4" ht="15.75" customHeight="1" x14ac:dyDescent="0.15">
      <c r="A11" s="5" t="s">
        <v>10</v>
      </c>
      <c r="B11" s="6" t="str">
        <f ca="1">IFERROR(__xludf.DUMMYFUNCTION("""COMPUTED_VALUE"""),"Nandita_14; 98.9011% identity 2.56792e-58")</f>
        <v>Nandita_14; 98.9011% identity 2.56792e-58</v>
      </c>
      <c r="C11" s="6" t="str">
        <f ca="1">IFERROR(__xludf.DUMMYFUNCTION("""COMPUTED_VALUE"""),"Best hits were Nandita and QuinnAvery; % identoty ; E-val: 0.0e0; Q: 1-110; T: 1-110")</f>
        <v>Best hits were Nandita and QuinnAvery; % identoty ; E-val: 0.0e0; Q: 1-110; T: 1-110</v>
      </c>
      <c r="D11" s="6"/>
    </row>
    <row r="12" spans="1:4" ht="15.75" customHeight="1" x14ac:dyDescent="0.15">
      <c r="A12" s="5" t="s">
        <v>11</v>
      </c>
      <c r="B12" s="6" t="str">
        <f ca="1">IFERROR(__xludf.DUMMYFUNCTION("""COMPUTED_VALUE"""),"no, the start that is called in Schism is 4, it is in other genes but not often called. The most commonly called start is 6 Schism_14 has this start but it not a great match. ")</f>
        <v xml:space="preserve">no, the start that is called in Schism is 4, it is in other genes but not often called. The most commonly called start is 6 Schism_14 has this start but it not a great match. </v>
      </c>
      <c r="C12" s="6" t="str">
        <f ca="1">IFERROR(__xludf.DUMMYFUNCTION("""COMPUTED_VALUE"""),"Start #4 (Glimmer): conserved in most members, called 15% when present; Start #5 (Gene): Conserved in all members, called 100% when present")</f>
        <v>Start #4 (Glimmer): conserved in most members, called 15% when present; Start #5 (Gene): Conserved in all members, called 100% when present</v>
      </c>
      <c r="D12" s="6"/>
    </row>
    <row r="13" spans="1:4" ht="15.75" customHeight="1" x14ac:dyDescent="0.15">
      <c r="A13" s="5" t="s">
        <v>12</v>
      </c>
      <c r="B13" s="6" t="str">
        <f ca="1">IFERROR(__xludf.DUMMYFUNCTION("""COMPUTED_VALUE"""),"Yes, the start should be moved to nt 8495. It lessens the gap to about 3 nt and although it has a poor Z Score it has good coding potential from Gene Mark. ")</f>
        <v xml:space="preserve">Yes, the start should be moved to nt 8495. It lessens the gap to about 3 nt and although it has a poor Z Score it has good coding potential from Gene Mark. </v>
      </c>
      <c r="C13" s="6" t="str">
        <f ca="1">IFERROR(__xludf.DUMMYFUNCTION("""COMPUTED_VALUE"""),"no start change as we favor glimmer over Gene")</f>
        <v>no start change as we favor glimmer over Gene</v>
      </c>
      <c r="D13" s="6"/>
    </row>
    <row r="14" spans="1:4" ht="15.75" customHeight="1" x14ac:dyDescent="0.15">
      <c r="A14" s="5" t="s">
        <v>13</v>
      </c>
      <c r="B14" s="6" t="str">
        <f ca="1">IFERROR(__xludf.DUMMYFUNCTION("""COMPUTED_VALUE"""),"Guinevere_Draft_14, 6e-54 ")</f>
        <v xml:space="preserve">Guinevere_Draft_14, 6e-54 </v>
      </c>
      <c r="C14" s="6" t="str">
        <f ca="1">IFERROR(__xludf.DUMMYFUNCTION("""COMPUTED_VALUE"""),"Guinevere_Draft_14: 6e-54; Nandita_14: 7e-47")</f>
        <v>Guinevere_Draft_14: 6e-54; Nandita_14: 7e-47</v>
      </c>
      <c r="D14" s="6"/>
    </row>
    <row r="15" spans="1:4" ht="15.75" customHeight="1" x14ac:dyDescent="0.15">
      <c r="A15" s="5" t="s">
        <v>14</v>
      </c>
      <c r="B15" s="6" t="str">
        <f ca="1">IFERROR(__xludf.DUMMYFUNCTION("""COMPUTED_VALUE"""),"function unknown ")</f>
        <v xml:space="preserve">function unknown </v>
      </c>
      <c r="C15" s="6" t="str">
        <f ca="1">IFERROR(__xludf.DUMMYFUNCTION("""COMPUTED_VALUE"""),"Nandita: function unknown")</f>
        <v>Nandita: function unknown</v>
      </c>
      <c r="D15" s="6"/>
    </row>
    <row r="16" spans="1:4" ht="15.75" customHeight="1" x14ac:dyDescent="0.15">
      <c r="A16" s="5" t="s">
        <v>15</v>
      </c>
      <c r="B16" s="6" t="str">
        <f ca="1">IFERROR(__xludf.DUMMYFUNCTION("""COMPUTED_VALUE"""),"Guinvere and Schism have a very similar genetic environment ")</f>
        <v xml:space="preserve">Guinvere and Schism have a very similar genetic environment </v>
      </c>
      <c r="C16" s="6" t="str">
        <f ca="1">IFERROR(__xludf.DUMMYFUNCTION("""COMPUTED_VALUE"""),"Found in the same genetic environment as Nandita_ 14")</f>
        <v>Found in the same genetic environment as Nandita_ 14</v>
      </c>
      <c r="D16" s="6"/>
    </row>
    <row r="17" spans="1:4" ht="15.75" customHeight="1" x14ac:dyDescent="0.15">
      <c r="A17" s="5" t="s">
        <v>16</v>
      </c>
      <c r="B17" s="6" t="str">
        <f ca="1">IFERROR(__xludf.DUMMYFUNCTION("""COMPUTED_VALUE"""),"Family of unknown function
Probability: 94.69
% alignment Q: 64.71%
% alignment T: 71.74%")</f>
        <v>Family of unknown function
Probability: 94.69
% alignment Q: 64.71%
% alignment T: 71.74%</v>
      </c>
      <c r="C17" s="6" t="str">
        <f ca="1">IFERROR(__xludf.DUMMYFUNCTION("""COMPUTED_VALUE"""),"Some unknown function calls, some sporatic hits; Prob: 94.45%; %Q: 64.7%; %T: 71.7%; Function ia apart of alignemnt")</f>
        <v>Some unknown function calls, some sporatic hits; Prob: 94.45%; %Q: 64.7%; %T: 71.7%; Function ia apart of alignemnt</v>
      </c>
      <c r="D17" s="6"/>
    </row>
    <row r="18" spans="1:4" ht="15.75" customHeight="1" x14ac:dyDescent="0.15">
      <c r="A18" s="5" t="s">
        <v>17</v>
      </c>
      <c r="B18" s="6" t="str">
        <f ca="1">IFERROR(__xludf.DUMMYFUNCTION("""COMPUTED_VALUE"""),"no")</f>
        <v>no</v>
      </c>
      <c r="C18" s="6" t="str">
        <f ca="1">IFERROR(__xludf.DUMMYFUNCTION("""COMPUTED_VALUE"""),"No conserved domain")</f>
        <v>No conserved domain</v>
      </c>
      <c r="D18" s="6"/>
    </row>
    <row r="19" spans="1:4" ht="15.75" customHeight="1" x14ac:dyDescent="0.15">
      <c r="A19" s="5" t="s">
        <v>18</v>
      </c>
      <c r="B19" s="6" t="str">
        <f ca="1">IFERROR(__xludf.DUMMYFUNCTION("""COMPUTED_VALUE"""),"no")</f>
        <v>no</v>
      </c>
      <c r="C19" s="6" t="str">
        <f ca="1">IFERROR(__xludf.DUMMYFUNCTION("""COMPUTED_VALUE"""),"Not a membrane protein, most likely inside the membrane")</f>
        <v>Not a membrane protein, most likely inside the membrane</v>
      </c>
      <c r="D19" s="6"/>
    </row>
    <row r="20" spans="1:4" ht="15.75" customHeight="1" x14ac:dyDescent="0.15">
      <c r="A20" s="5" t="s">
        <v>19</v>
      </c>
      <c r="B20" s="6" t="str">
        <f ca="1">IFERROR(__xludf.DUMMYFUNCTION("""COMPUTED_VALUE"""),"hypothetical protein")</f>
        <v>hypothetical protein</v>
      </c>
      <c r="C20" s="6" t="str">
        <f ca="1">IFERROR(__xludf.DUMMYFUNCTION("""COMPUTED_VALUE"""),"Hypothetical protien because there isnt a conserved function in the domain and the hits on HHpred were ver sporatic, the best hit was a family of unknown function. ")</f>
        <v xml:space="preserve">Hypothetical protien because there isnt a conserved function in the domain and the hits on HHpred were ver sporatic, the best hit was a family of unknown function. </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IFERROR(__xludf.DUMMYFUNCTION("IMPORTRANGE(""https://docs.google.com/spreadsheets/d/1lnhM27PotbG3sLgv1l-Z-v-YjCyKJ0DlymQrusc2STA"", ""S15!B1:B22"")"),"Layla Baldwin")</f>
        <v>Layla Baldwin</v>
      </c>
      <c r="C1" s="10" t="str">
        <f ca="1">IFERROR(__xludf.DUMMYFUNCTION("IMPORTRANGE(""https://docs.google.com/spreadsheets/d/1K_SrfyQXDNcl5UVETvGMAvEDUHr5HCmSgfuNiyo2M-k"", ""S15!B1:B22"")"),"Korie Hall")</f>
        <v>Korie Hall</v>
      </c>
      <c r="D1" s="2" t="s">
        <v>0</v>
      </c>
    </row>
    <row r="2" spans="1:4" ht="15.75" customHeight="1" x14ac:dyDescent="0.15">
      <c r="A2" s="3" t="s">
        <v>1</v>
      </c>
      <c r="B2" s="4" t="str">
        <f ca="1">IFERROR(__xludf.DUMMYFUNCTION("""COMPUTED_VALUE"""),"8767-9180 forward")</f>
        <v>8767-9180 forward</v>
      </c>
      <c r="C2" s="4" t="str">
        <f ca="1">IFERROR(__xludf.DUMMYFUNCTION("""COMPUTED_VALUE"""),"Start: 8767 / Stop: 9180")</f>
        <v>Start: 8767 / Stop: 9180</v>
      </c>
      <c r="D2" s="4"/>
    </row>
    <row r="3" spans="1:4" ht="15.75" customHeight="1" x14ac:dyDescent="0.15">
      <c r="A3" s="5" t="s">
        <v>2</v>
      </c>
      <c r="B3" s="6" t="str">
        <f ca="1">IFERROR(__xludf.DUMMYFUNCTION("""COMPUTED_VALUE"""),"15 in PDB and Pham, 14 in DNAM")</f>
        <v>15 in PDB and Pham, 14 in DNAM</v>
      </c>
      <c r="C3" s="6" t="str">
        <f ca="1">IFERROR(__xludf.DUMMYFUNCTION("""COMPUTED_VALUE"""),"DNA Master: Gene 14 / Phamerator: Gene 15")</f>
        <v>DNA Master: Gene 14 / Phamerator: Gene 15</v>
      </c>
      <c r="D3" s="6"/>
    </row>
    <row r="4" spans="1:4" ht="15.75" customHeight="1" x14ac:dyDescent="0.15">
      <c r="A4" s="5" t="s">
        <v>3</v>
      </c>
      <c r="B4" s="6" t="str">
        <f ca="1">IFERROR(__xludf.DUMMYFUNCTION("""COMPUTED_VALUE"""),"6041 4/2/25")</f>
        <v>6041 4/2/25</v>
      </c>
      <c r="C4" s="6">
        <f ca="1">IFERROR(__xludf.DUMMYFUNCTION("""COMPUTED_VALUE"""),6041)</f>
        <v>6041</v>
      </c>
      <c r="D4" s="6"/>
    </row>
    <row r="5" spans="1:4" ht="15.75" customHeight="1" x14ac:dyDescent="0.15">
      <c r="A5" s="5" t="s">
        <v>4</v>
      </c>
      <c r="B5" s="6" t="str">
        <f ca="1">IFERROR(__xludf.DUMMYFUNCTION("""COMPUTED_VALUE"""),"AbbyDaisy_12 (tail terminator), Cole_13 (tail terminator)")</f>
        <v>AbbyDaisy_12 (tail terminator), Cole_13 (tail terminator)</v>
      </c>
      <c r="C5" s="6" t="str">
        <f ca="1">IFERROR(__xludf.DUMMYFUNCTION("""COMPUTED_VALUE"""),"Nandita_15")</f>
        <v>Nandita_15</v>
      </c>
      <c r="D5" s="6"/>
    </row>
    <row r="6" spans="1:4" ht="15.75" customHeight="1" x14ac:dyDescent="0.15">
      <c r="A6" s="5" t="s">
        <v>5</v>
      </c>
      <c r="B6" s="6" t="str">
        <f ca="1">IFERROR(__xludf.DUMMYFUNCTION("""COMPUTED_VALUE"""),"Both call")</f>
        <v>Both call</v>
      </c>
      <c r="C6" s="6" t="str">
        <f ca="1">IFERROR(__xludf.DUMMYFUNCTION("""COMPUTED_VALUE"""),"Glimmer and GeneMark call @8767")</f>
        <v>Glimmer and GeneMark call @8767</v>
      </c>
      <c r="D6" s="6"/>
    </row>
    <row r="7" spans="1:4" ht="15.75" customHeight="1" x14ac:dyDescent="0.15">
      <c r="A7" s="5" t="s">
        <v>6</v>
      </c>
      <c r="B7" s="6" t="str">
        <f ca="1">IFERROR(__xludf.DUMMYFUNCTION("""COMPUTED_VALUE"""),"Good potential, start captures potential")</f>
        <v>Good potential, start captures potential</v>
      </c>
      <c r="C7" s="6" t="str">
        <f ca="1">IFERROR(__xludf.DUMMYFUNCTION("""COMPUTED_VALUE"""),"Gene catches all possible coding potential")</f>
        <v>Gene catches all possible coding potential</v>
      </c>
      <c r="D7" s="6"/>
    </row>
    <row r="8" spans="1:4" ht="15.75" customHeight="1" x14ac:dyDescent="0.15">
      <c r="A8" s="5" t="s">
        <v>7</v>
      </c>
      <c r="B8" s="6" t="str">
        <f ca="1">IFERROR(__xludf.DUMMYFUNCTION("""COMPUTED_VALUE"""),"Yes, no previous starts")</f>
        <v>Yes, no previous starts</v>
      </c>
      <c r="C8" s="6" t="str">
        <f ca="1">IFERROR(__xludf.DUMMYFUNCTION("""COMPUTED_VALUE"""),"Yes, no other possible ORF")</f>
        <v>Yes, no other possible ORF</v>
      </c>
      <c r="D8" s="6"/>
    </row>
    <row r="9" spans="1:4" ht="15.75" customHeight="1" x14ac:dyDescent="0.15">
      <c r="A9" s="5" t="s">
        <v>8</v>
      </c>
      <c r="B9" s="6" t="str">
        <f ca="1">IFERROR(__xludf.DUMMYFUNCTION("""COMPUTED_VALUE"""),"3 bp overlap")</f>
        <v>3 bp overlap</v>
      </c>
      <c r="C9" s="6" t="str">
        <f ca="1">IFERROR(__xludf.DUMMYFUNCTION("""COMPUTED_VALUE"""),"3 bp overlap with Gene 14")</f>
        <v>3 bp overlap with Gene 14</v>
      </c>
      <c r="D9" s="6"/>
    </row>
    <row r="10" spans="1:4" ht="15.75" customHeight="1" x14ac:dyDescent="0.15">
      <c r="A10" s="5" t="s">
        <v>9</v>
      </c>
      <c r="B10" s="6" t="str">
        <f ca="1">IFERROR(__xludf.DUMMYFUNCTION("""COMPUTED_VALUE"""),"Current start has best scores, Z = 3.022, final = -3.284.")</f>
        <v>Current start has best scores, Z = 3.022, final = -3.284.</v>
      </c>
      <c r="C10" s="6" t="str">
        <f ca="1">IFERROR(__xludf.DUMMYFUNCTION("""COMPUTED_VALUE"""),"Z-score: 3.022 / Final Score: -3.284")</f>
        <v>Z-score: 3.022 / Final Score: -3.284</v>
      </c>
      <c r="D10" s="6"/>
    </row>
    <row r="11" spans="1:4" ht="15.75" customHeight="1" x14ac:dyDescent="0.15">
      <c r="A11" s="5" t="s">
        <v>10</v>
      </c>
      <c r="B11" s="6" t="str">
        <f ca="1">IFERROR(__xludf.DUMMYFUNCTION("""COMPUTED_VALUE"""),"Nandita, identity = 100, e = 7e-94, q1:s1. Zaheer, identity = 97.81, e = 3e-92, q1:s1 ")</f>
        <v xml:space="preserve">Nandita, identity = 100, e = 7e-94, q1:s1. Zaheer, identity = 97.81, e = 3e-92, q1:s1 </v>
      </c>
      <c r="C11" s="6" t="str">
        <f ca="1">IFERROR(__xludf.DUMMYFUNCTION("""COMPUTED_VALUE"""),"Nandita_15 - % identity: 100% / e-value: 7e-94 / q1:s1")</f>
        <v>Nandita_15 - % identity: 100% / e-value: 7e-94 / q1:s1</v>
      </c>
      <c r="D11" s="6"/>
    </row>
    <row r="12" spans="1:4" ht="15.75" customHeight="1" x14ac:dyDescent="0.15">
      <c r="A12" s="5" t="s">
        <v>11</v>
      </c>
      <c r="B12" s="6" t="str">
        <f ca="1">IFERROR(__xludf.DUMMYFUNCTION("""COMPUTED_VALUE"""),"Found in 100% of genes, called 96.3% of the time when present")</f>
        <v>Found in 100% of genes, called 96.3% of the time when present</v>
      </c>
      <c r="C12" s="6" t="str">
        <f ca="1">IFERROR(__xludf.DUMMYFUNCTION("""COMPUTED_VALUE"""),"Found in 27 of 27 members of the pham / Conserved 96.3% of the time  ")</f>
        <v xml:space="preserve">Found in 27 of 27 members of the pham / Conserved 96.3% of the time  </v>
      </c>
      <c r="D12" s="6"/>
    </row>
    <row r="13" spans="1:4" ht="15.75" customHeight="1" x14ac:dyDescent="0.15">
      <c r="A13" s="5" t="s">
        <v>12</v>
      </c>
      <c r="B13" s="6" t="str">
        <f ca="1">IFERROR(__xludf.DUMMYFUNCTION("""COMPUTED_VALUE"""),"No, no reason to")</f>
        <v>No, no reason to</v>
      </c>
      <c r="C13" s="6" t="str">
        <f ca="1">IFERROR(__xludf.DUMMYFUNCTION("""COMPUTED_VALUE"""),"Start should not be changed. Besides having no other ORF there is good data for this gene.")</f>
        <v>Start should not be changed. Besides having no other ORF there is good data for this gene.</v>
      </c>
      <c r="D13" s="6"/>
    </row>
    <row r="14" spans="1:4" ht="15.75" customHeight="1" x14ac:dyDescent="0.15">
      <c r="A14" s="5" t="s">
        <v>13</v>
      </c>
      <c r="B14" s="6" t="str">
        <f ca="1">IFERROR(__xludf.DUMMYFUNCTION("""COMPUTED_VALUE"""),"Nandita_15, e = 2e-75. Guinevere_15, e = 2e-75")</f>
        <v>Nandita_15, e = 2e-75. Guinevere_15, e = 2e-75</v>
      </c>
      <c r="C14" s="6" t="str">
        <f ca="1">IFERROR(__xludf.DUMMYFUNCTION("""COMPUTED_VALUE"""),"Nandita_15 - e-value: 2e-75")</f>
        <v>Nandita_15 - e-value: 2e-75</v>
      </c>
      <c r="D14" s="6"/>
    </row>
    <row r="15" spans="1:4" ht="15.75" customHeight="1" x14ac:dyDescent="0.15">
      <c r="A15" s="5" t="s">
        <v>14</v>
      </c>
      <c r="B15" s="6" t="str">
        <f ca="1">IFERROR(__xludf.DUMMYFUNCTION("""COMPUTED_VALUE"""),"Nandita_15 - tail terminator, Guinevere_15 - unknown function")</f>
        <v>Nandita_15 - tail terminator, Guinevere_15 - unknown function</v>
      </c>
      <c r="C15" s="6" t="str">
        <f ca="1">IFERROR(__xludf.DUMMYFUNCTION("""COMPUTED_VALUE"""),"Tail Terminator ")</f>
        <v xml:space="preserve">Tail Terminator </v>
      </c>
      <c r="D15" s="6"/>
    </row>
    <row r="16" spans="1:4" ht="15.75" customHeight="1" x14ac:dyDescent="0.15">
      <c r="A16" s="5" t="s">
        <v>15</v>
      </c>
      <c r="B16" s="6" t="str">
        <f ca="1">IFERROR(__xludf.DUMMYFUNCTION("""COMPUTED_VALUE"""),"Yes ")</f>
        <v xml:space="preserve">Yes </v>
      </c>
      <c r="C16" s="6" t="str">
        <f ca="1">IFERROR(__xludf.DUMMYFUNCTION("""COMPUTED_VALUE"""),"Function is as expected / adjacent to Nandita_15")</f>
        <v>Function is as expected / adjacent to Nandita_15</v>
      </c>
      <c r="D16" s="6"/>
    </row>
    <row r="17" spans="1:4" ht="15.75" customHeight="1" x14ac:dyDescent="0.15">
      <c r="A17" s="5" t="s">
        <v>16</v>
      </c>
      <c r="B17" s="6" t="str">
        <f ca="1">IFERROR(__xludf.DUMMYFUNCTION("""COMPUTED_VALUE"""),"Structure of bacteriophage SPP1 head-to-tail interface without DNA and tape measure protein. probability = 99.15, aoq = 89.05, aot = 91.04. 5A21_G")</f>
        <v>Structure of bacteriophage SPP1 head-to-tail interface without DNA and tape measure protein. probability = 99.15, aoq = 89.05, aot = 91.04. 5A21_G</v>
      </c>
      <c r="C17" s="6" t="str">
        <f ca="1">IFERROR(__xludf.DUMMYFUNCTION("""COMPUTED_VALUE"""),"Tail terminator; Bacteriophage, portal, VIRAL PROTEIN;{Mycobacterium phage Bxb1} / Probability: 99.86% / % alignment of query: 93% / % alignment of target: 86% / e-value: 8e-20 ")</f>
        <v xml:space="preserve">Tail terminator; Bacteriophage, portal, VIRAL PROTEIN;{Mycobacterium phage Bxb1} / Probability: 99.86% / % alignment of query: 93% / % alignment of target: 86% / e-value: 8e-20 </v>
      </c>
      <c r="D17" s="6"/>
    </row>
    <row r="18" spans="1:4" ht="15.75" customHeight="1" x14ac:dyDescent="0.15">
      <c r="A18" s="5" t="s">
        <v>17</v>
      </c>
      <c r="B18" s="6" t="str">
        <f ca="1">IFERROR(__xludf.DUMMYFUNCTION("""COMPUTED_VALUE"""),"No ")</f>
        <v xml:space="preserve">No </v>
      </c>
      <c r="C18" s="6" t="str">
        <f ca="1">IFERROR(__xludf.DUMMYFUNCTION("""COMPUTED_VALUE"""),"No conserved domain identified")</f>
        <v>No conserved domain identified</v>
      </c>
      <c r="D18" s="6"/>
    </row>
    <row r="19" spans="1:4" ht="15.75" customHeight="1" x14ac:dyDescent="0.15">
      <c r="A19" s="5" t="s">
        <v>18</v>
      </c>
      <c r="B19" s="6" t="str">
        <f ca="1">IFERROR(__xludf.DUMMYFUNCTION("""COMPUTED_VALUE"""),"No")</f>
        <v>No</v>
      </c>
      <c r="C19" s="6" t="str">
        <f ca="1">IFERROR(__xludf.DUMMYFUNCTION("""COMPUTED_VALUE"""),"No membrane protein identified ")</f>
        <v xml:space="preserve">No membrane protein identified </v>
      </c>
      <c r="D19" s="6"/>
    </row>
    <row r="20" spans="1:4" ht="15.75" customHeight="1" x14ac:dyDescent="0.15">
      <c r="A20" s="5" t="s">
        <v>19</v>
      </c>
      <c r="B20" s="6" t="str">
        <f ca="1">IFERROR(__xludf.DUMMYFUNCTION("""COMPUTED_VALUE"""),"Tail terminator, supported by HHPred")</f>
        <v>Tail terminator, supported by HHPred</v>
      </c>
      <c r="C20" s="6" t="str">
        <f ca="1">IFERROR(__xludf.DUMMYFUNCTION("""COMPUTED_VALUE"""),"Tail Terminator ( Rationale: There is enough reliable information from other members in the pham to make this conclusion, which is solidifed by the HHPred match. )")</f>
        <v>Tail Terminator ( Rationale: There is enough reliable information from other members in the pham to make this conclusion, which is solidifed by the HHPred match. )</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IFERROR(__xludf.DUMMYFUNCTION("IMPORTRANGE(""https://docs.google.com/spreadsheets/d/1JcP72URjln8m_02QQGZH43HhxTMRpkReW-wbnKU8b-0"", ""S16!B1:B22"")"),"Josiah Bolton")</f>
        <v>Josiah Bolton</v>
      </c>
      <c r="C1" s="11" t="str">
        <f ca="1">IFERROR(__xludf.DUMMYFUNCTION("IMPORTRANGE(""https://docs.google.com/spreadsheets/d/1u6ZP_AyBJKGOZ-m1erEe8ylMC_0IEsUBTvQJRRPiF5g"", ""S16!B1:B22"")"),"Erin Loudermilk")</f>
        <v>Erin Loudermilk</v>
      </c>
      <c r="D1" s="2" t="s">
        <v>0</v>
      </c>
    </row>
    <row r="2" spans="1:4" ht="15.75" customHeight="1" x14ac:dyDescent="0.15">
      <c r="A2" s="3" t="s">
        <v>1</v>
      </c>
      <c r="B2" s="4" t="str">
        <f ca="1">IFERROR(__xludf.DUMMYFUNCTION("""COMPUTED_VALUE"""),"9237 - 9905 FOR")</f>
        <v>9237 - 9905 FOR</v>
      </c>
      <c r="C2" s="4" t="str">
        <f ca="1">IFERROR(__xludf.DUMMYFUNCTION("""COMPUTED_VALUE"""),"9237 - 9905 FOR")</f>
        <v>9237 - 9905 FOR</v>
      </c>
      <c r="D2" s="4"/>
    </row>
    <row r="3" spans="1:4" ht="15.75" customHeight="1" x14ac:dyDescent="0.15">
      <c r="A3" s="5" t="s">
        <v>2</v>
      </c>
      <c r="B3" s="6" t="str">
        <f ca="1">IFERROR(__xludf.DUMMYFUNCTION("""COMPUTED_VALUE"""),"15 in DNA Master
16 on Phamerator map")</f>
        <v>15 in DNA Master
16 on Phamerator map</v>
      </c>
      <c r="C3" s="6" t="str">
        <f ca="1">IFERROR(__xludf.DUMMYFUNCTION("""COMPUTED_VALUE"""),"DNA: 15, Pham: 16")</f>
        <v>DNA: 15, Pham: 16</v>
      </c>
      <c r="D3" s="6"/>
    </row>
    <row r="4" spans="1:4" ht="15.75" customHeight="1" x14ac:dyDescent="0.15">
      <c r="A4" s="5" t="s">
        <v>3</v>
      </c>
      <c r="B4" s="6" t="str">
        <f ca="1">IFERROR(__xludf.DUMMYFUNCTION("""COMPUTED_VALUE"""),"225934 4/7/2025")</f>
        <v>225934 4/7/2025</v>
      </c>
      <c r="C4" s="6" t="str">
        <f ca="1">IFERROR(__xludf.DUMMYFUNCTION("""COMPUTED_VALUE"""),"224284 (4/4/25)")</f>
        <v>224284 (4/4/25)</v>
      </c>
      <c r="D4" s="6"/>
    </row>
    <row r="5" spans="1:4" ht="15.75" customHeight="1" x14ac:dyDescent="0.15">
      <c r="A5" s="5" t="s">
        <v>4</v>
      </c>
      <c r="B5" s="6" t="str">
        <f ca="1">IFERROR(__xludf.DUMMYFUNCTION("""COMPUTED_VALUE"""),"Nandita 16")</f>
        <v>Nandita 16</v>
      </c>
      <c r="C5" s="6" t="str">
        <f ca="1">IFERROR(__xludf.DUMMYFUNCTION("""COMPUTED_VALUE"""),"Nandita_16")</f>
        <v>Nandita_16</v>
      </c>
      <c r="D5" s="6"/>
    </row>
    <row r="6" spans="1:4" ht="15.75" customHeight="1" x14ac:dyDescent="0.15">
      <c r="A6" s="5" t="s">
        <v>5</v>
      </c>
      <c r="B6" s="6" t="str">
        <f ca="1">IFERROR(__xludf.DUMMYFUNCTION("""COMPUTED_VALUE"""),"Both programs support this.")</f>
        <v>Both programs support this.</v>
      </c>
      <c r="C6" s="6" t="str">
        <f ca="1">IFERROR(__xludf.DUMMYFUNCTION("""COMPUTED_VALUE"""),"Both call 9237 start")</f>
        <v>Both call 9237 start</v>
      </c>
      <c r="D6" s="6"/>
    </row>
    <row r="7" spans="1:4" ht="15.75" customHeight="1" x14ac:dyDescent="0.15">
      <c r="A7" s="5" t="s">
        <v>6</v>
      </c>
      <c r="B7" s="6" t="str">
        <f ca="1">IFERROR(__xludf.DUMMYFUNCTION("""COMPUTED_VALUE"""),"The coding potential is alright and all is included.")</f>
        <v>The coding potential is alright and all is included.</v>
      </c>
      <c r="C7" s="6" t="str">
        <f ca="1">IFERROR(__xludf.DUMMYFUNCTION("""COMPUTED_VALUE"""),"Gene has good coding potential, including start. (according to GM Host)")</f>
        <v>Gene has good coding potential, including start. (according to GM Host)</v>
      </c>
      <c r="D7" s="6"/>
    </row>
    <row r="8" spans="1:4" ht="15.75" customHeight="1" x14ac:dyDescent="0.15">
      <c r="A8" s="5" t="s">
        <v>7</v>
      </c>
      <c r="B8" s="6" t="str">
        <f ca="1">IFERROR(__xludf.DUMMYFUNCTION("""COMPUTED_VALUE"""),"It is the longest ORF.")</f>
        <v>It is the longest ORF.</v>
      </c>
      <c r="C8" s="6" t="str">
        <f ca="1">IFERROR(__xludf.DUMMYFUNCTION("""COMPUTED_VALUE"""),"Yes")</f>
        <v>Yes</v>
      </c>
      <c r="D8" s="6"/>
    </row>
    <row r="9" spans="1:4" ht="15.75" customHeight="1" x14ac:dyDescent="0.15">
      <c r="A9" s="5" t="s">
        <v>8</v>
      </c>
      <c r="B9" s="6" t="str">
        <f ca="1">IFERROR(__xludf.DUMMYFUNCTION("""COMPUTED_VALUE"""),"57 bp gap.")</f>
        <v>57 bp gap.</v>
      </c>
      <c r="C9" s="6" t="str">
        <f ca="1">IFERROR(__xludf.DUMMYFUNCTION("""COMPUTED_VALUE"""),"50 nucleotide gap, smallest gap possible")</f>
        <v>50 nucleotide gap, smallest gap possible</v>
      </c>
      <c r="D9" s="6"/>
    </row>
    <row r="10" spans="1:4" ht="15.75" customHeight="1" x14ac:dyDescent="0.15">
      <c r="A10" s="5" t="s">
        <v>9</v>
      </c>
      <c r="B10" s="6" t="str">
        <f ca="1">IFERROR(__xludf.DUMMYFUNCTION("""COMPUTED_VALUE"""),"Z-score is 2.833 and final score is -3.168. This is the best score.")</f>
        <v>Z-score is 2.833 and final score is -3.168. This is the best score.</v>
      </c>
      <c r="C10" s="6" t="str">
        <f ca="1">IFERROR(__xludf.DUMMYFUNCTION("""COMPUTED_VALUE"""),"2.804, best score")</f>
        <v>2.804, best score</v>
      </c>
      <c r="D10" s="6"/>
    </row>
    <row r="11" spans="1:4" ht="15.75" customHeight="1" x14ac:dyDescent="0.15">
      <c r="A11" s="5" t="s">
        <v>10</v>
      </c>
      <c r="B11" s="6" t="str">
        <f ca="1">IFERROR(__xludf.DUMMYFUNCTION("""COMPUTED_VALUE"""),"Nandita 16 100% identity e value is 1.21e-157 q1:s1.")</f>
        <v>Nandita 16 100% identity e value is 1.21e-157 q1:s1.</v>
      </c>
      <c r="C11" s="6" t="str">
        <f ca="1">IFERROR(__xludf.DUMMYFUNCTION("""COMPUTED_VALUE"""),"Nandita_16, major tail protein, 222% identity, 0.0E0, Q: 222, S: 222")</f>
        <v>Nandita_16, major tail protein, 222% identity, 0.0E0, Q: 222, S: 222</v>
      </c>
      <c r="D11" s="6"/>
    </row>
    <row r="12" spans="1:4" ht="15.75" customHeight="1" x14ac:dyDescent="0.15">
      <c r="A12" s="5" t="s">
        <v>11</v>
      </c>
      <c r="B12" s="6" t="str">
        <f ca="1">IFERROR(__xludf.DUMMYFUNCTION("""COMPUTED_VALUE"""),"Start 9 is conserved in most members of the pham and is called 99.3% of time when present.")</f>
        <v>Start 9 is conserved in most members of the pham and is called 99.3% of time when present.</v>
      </c>
      <c r="C12" s="6" t="str">
        <f ca="1">IFERROR(__xludf.DUMMYFUNCTION("""COMPUTED_VALUE"""),"Not conserved in all members, called 99.2% when called")</f>
        <v>Not conserved in all members, called 99.2% when called</v>
      </c>
      <c r="D12" s="6"/>
    </row>
    <row r="13" spans="1:4" ht="15.75" customHeight="1" x14ac:dyDescent="0.15">
      <c r="A13" s="5" t="s">
        <v>12</v>
      </c>
      <c r="B13" s="6" t="str">
        <f ca="1">IFERROR(__xludf.DUMMYFUNCTION("""COMPUTED_VALUE"""),"No start change at all because this is the best score.")</f>
        <v>No start change at all because this is the best score.</v>
      </c>
      <c r="C13" s="6" t="str">
        <f ca="1">IFERROR(__xludf.DUMMYFUNCTION("""COMPUTED_VALUE"""),"No ")</f>
        <v xml:space="preserve">No </v>
      </c>
      <c r="D13" s="6"/>
    </row>
    <row r="14" spans="1:4" ht="15.75" customHeight="1" x14ac:dyDescent="0.15">
      <c r="A14" s="5" t="s">
        <v>13</v>
      </c>
      <c r="B14" s="6" t="str">
        <f ca="1">IFERROR(__xludf.DUMMYFUNCTION("""COMPUTED_VALUE"""),"Nandita 16 1e-126.")</f>
        <v>Nandita 16 1e-126.</v>
      </c>
      <c r="C14" s="6" t="str">
        <f ca="1">IFERROR(__xludf.DUMMYFUNCTION("""COMPUTED_VALUE"""),"Nandita_16, e-126")</f>
        <v>Nandita_16, e-126</v>
      </c>
      <c r="D14" s="6"/>
    </row>
    <row r="15" spans="1:4" ht="15.75" customHeight="1" x14ac:dyDescent="0.15">
      <c r="A15" s="5" t="s">
        <v>14</v>
      </c>
      <c r="B15" s="6" t="str">
        <f ca="1">IFERROR(__xludf.DUMMYFUNCTION("""COMPUTED_VALUE"""),"Nandita 16 is a major tail protein.")</f>
        <v>Nandita 16 is a major tail protein.</v>
      </c>
      <c r="C15" s="6" t="str">
        <f ca="1">IFERROR(__xludf.DUMMYFUNCTION("""COMPUTED_VALUE""")," major tail protein")</f>
        <v xml:space="preserve"> major tail protein</v>
      </c>
      <c r="D15" s="6"/>
    </row>
    <row r="16" spans="1:4" ht="15.75" customHeight="1" x14ac:dyDescent="0.15">
      <c r="A16" s="5" t="s">
        <v>15</v>
      </c>
      <c r="B16" s="6" t="str">
        <f ca="1">IFERROR(__xludf.DUMMYFUNCTION("""COMPUTED_VALUE"""),"Synteny would be expected as both 16 are adjacent.")</f>
        <v>Synteny would be expected as both 16 are adjacent.</v>
      </c>
      <c r="C16" s="6" t="str">
        <f ca="1">IFERROR(__xludf.DUMMYFUNCTION("""COMPUTED_VALUE"""),"Found in similar environment in Nandita")</f>
        <v>Found in similar environment in Nandita</v>
      </c>
      <c r="D16" s="6"/>
    </row>
    <row r="17" spans="1:4" ht="15.75" customHeight="1" x14ac:dyDescent="0.15">
      <c r="A17" s="5" t="s">
        <v>16</v>
      </c>
      <c r="B17" s="6" t="str">
        <f ca="1">IFERROR(__xludf.DUMMYFUNCTION("""COMPUTED_VALUE"""),"Major tail protein; Bacteriophage, portal, VIRAL PROTEIN;{Mycobacterium phage Bxb1} Probability is 99.9%. % alignment of query is 82.43% and % alignment of target is 64.66%. The functional domain is not in target part of alignment.")</f>
        <v>Major tail protein; Bacteriophage, portal, VIRAL PROTEIN;{Mycobacterium phage Bxb1} Probability is 99.9%. % alignment of query is 82.43% and % alignment of target is 64.66%. The functional domain is not in target part of alignment.</v>
      </c>
      <c r="C17" s="6" t="str">
        <f ca="1">IFERROR(__xludf.DUMMYFUNCTION("""COMPUTED_VALUE"""),"Q05229	VG23_BPML5 Major tail protein Gp23, 99.91% probability, 91.89% Q, 93.94%, Functional domain in target part of alignment")</f>
        <v>Q05229	VG23_BPML5 Major tail protein Gp23, 99.91% probability, 91.89% Q, 93.94%, Functional domain in target part of alignment</v>
      </c>
      <c r="D17" s="6"/>
    </row>
    <row r="18" spans="1:4" ht="15.75" customHeight="1" x14ac:dyDescent="0.15">
      <c r="A18" s="5" t="s">
        <v>17</v>
      </c>
      <c r="B18" s="6" t="str">
        <f ca="1">IFERROR(__xludf.DUMMYFUNCTION("""COMPUTED_VALUE"""),"Unknown.")</f>
        <v>Unknown.</v>
      </c>
      <c r="C18" s="6" t="str">
        <f ca="1">IFERROR(__xludf.DUMMYFUNCTION("""COMPUTED_VALUE"""),"None")</f>
        <v>None</v>
      </c>
      <c r="D18" s="6"/>
    </row>
    <row r="19" spans="1:4" ht="15.75" customHeight="1" x14ac:dyDescent="0.15">
      <c r="A19" s="5" t="s">
        <v>18</v>
      </c>
      <c r="B19" s="6" t="str">
        <f ca="1">IFERROR(__xludf.DUMMYFUNCTION("""COMPUTED_VALUE"""),"None.")</f>
        <v>None.</v>
      </c>
      <c r="C19" s="6" t="str">
        <f ca="1">IFERROR(__xludf.DUMMYFUNCTION("""COMPUTED_VALUE"""),"None")</f>
        <v>None</v>
      </c>
      <c r="D19" s="6"/>
    </row>
    <row r="20" spans="1:4" ht="15.75" customHeight="1" x14ac:dyDescent="0.15">
      <c r="A20" s="5" t="s">
        <v>19</v>
      </c>
      <c r="B20" s="6" t="str">
        <f ca="1">IFERROR(__xludf.DUMMYFUNCTION("""COMPUTED_VALUE"""),"Major tail protein because using HHPred, PECAAN, PhagesDB, and Phamerator. There is good match and synteny with Nandita and Schism gene 16.")</f>
        <v>Major tail protein because using HHPred, PECAAN, PhagesDB, and Phamerator. There is good match and synteny with Nandita and Schism gene 16.</v>
      </c>
      <c r="C20" s="6" t="str">
        <f ca="1">IFERROR(__xludf.DUMMYFUNCTION("""COMPUTED_VALUE"""),"Major tail protein")</f>
        <v>Major tail protein</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IFERROR(__xludf.DUMMYFUNCTION("IMPORTRANGE(""https://docs.google.com/spreadsheets/d/1xJbcWhjJwppoDUCHCotLHO1vyy_ugWR-w2T_Z5J7WD4"", ""S17!B1:B22"")"),"Rin Godfrey")</f>
        <v>Rin Godfrey</v>
      </c>
      <c r="C1" s="11" t="str">
        <f ca="1">IFERROR(__xludf.DUMMYFUNCTION("IMPORTRANGE(""https://docs.google.com/spreadsheets/d/1mDoveT5ogJcal0bN308rf9jioMYsAcKe21Otdt4nuTk"", ""S17!B1:B22"")"),"Put Your Name Here")</f>
        <v>Put Your Name Here</v>
      </c>
      <c r="D1" s="2" t="s">
        <v>0</v>
      </c>
    </row>
    <row r="2" spans="1:4" ht="15.75" customHeight="1" x14ac:dyDescent="0.15">
      <c r="A2" s="3" t="s">
        <v>1</v>
      </c>
      <c r="B2" s="4" t="str">
        <f ca="1">IFERROR(__xludf.DUMMYFUNCTION("""COMPUTED_VALUE"""),"9996 - 10160 FOR")</f>
        <v>9996 - 10160 FOR</v>
      </c>
      <c r="C2" s="4" t="str">
        <f ca="1">IFERROR(__xludf.DUMMYFUNCTION("""COMPUTED_VALUE"""),"9996 - 10160 FOW")</f>
        <v>9996 - 10160 FOW</v>
      </c>
      <c r="D2" s="4"/>
    </row>
    <row r="3" spans="1:4" ht="15.75" customHeight="1" x14ac:dyDescent="0.15">
      <c r="A3" s="5" t="s">
        <v>2</v>
      </c>
      <c r="B3" s="6" t="str">
        <f ca="1">IFERROR(__xludf.DUMMYFUNCTION("""COMPUTED_VALUE"""),"DNA Master 16
Phamerator 17")</f>
        <v>DNA Master 16
Phamerator 17</v>
      </c>
      <c r="C3" s="6" t="str">
        <f ca="1">IFERROR(__xludf.DUMMYFUNCTION("""COMPUTED_VALUE"""),"phamerator_17")</f>
        <v>phamerator_17</v>
      </c>
      <c r="D3" s="6"/>
    </row>
    <row r="4" spans="1:4" ht="15.75" customHeight="1" x14ac:dyDescent="0.15">
      <c r="A4" s="5" t="s">
        <v>3</v>
      </c>
      <c r="B4" s="6" t="str">
        <f ca="1">IFERROR(__xludf.DUMMYFUNCTION("""COMPUTED_VALUE"""),"5974 4/3/25")</f>
        <v>5974 4/3/25</v>
      </c>
      <c r="C4" s="6" t="str">
        <f ca="1">IFERROR(__xludf.DUMMYFUNCTION("""COMPUTED_VALUE"""),"5974 3/31/25")</f>
        <v>5974 3/31/25</v>
      </c>
      <c r="D4" s="6"/>
    </row>
    <row r="5" spans="1:4" ht="15.75" customHeight="1" x14ac:dyDescent="0.15">
      <c r="A5" s="5" t="s">
        <v>4</v>
      </c>
      <c r="B5" s="6" t="str">
        <f ca="1">IFERROR(__xludf.DUMMYFUNCTION("""COMPUTED_VALUE"""),"GoodLuckBabe_17
Nandita_17")</f>
        <v>GoodLuckBabe_17
Nandita_17</v>
      </c>
      <c r="C5" s="6"/>
      <c r="D5" s="6"/>
    </row>
    <row r="6" spans="1:4" ht="15.75" customHeight="1" x14ac:dyDescent="0.15">
      <c r="A6" s="5" t="s">
        <v>5</v>
      </c>
      <c r="B6" s="6" t="str">
        <f ca="1">IFERROR(__xludf.DUMMYFUNCTION("""COMPUTED_VALUE"""),"Both support at start 9996")</f>
        <v>Both support at start 9996</v>
      </c>
      <c r="C6" s="6" t="str">
        <f ca="1">IFERROR(__xludf.DUMMYFUNCTION("""COMPUTED_VALUE"""),"both call 9996")</f>
        <v>both call 9996</v>
      </c>
      <c r="D6" s="6"/>
    </row>
    <row r="7" spans="1:4" ht="15.75" customHeight="1" x14ac:dyDescent="0.15">
      <c r="A7" s="5" t="s">
        <v>6</v>
      </c>
      <c r="B7" s="6" t="str">
        <f ca="1">IFERROR(__xludf.DUMMYFUNCTION("""COMPUTED_VALUE"""),"there is potential but it it not all covered in the beginning")</f>
        <v>there is potential but it it not all covered in the beginning</v>
      </c>
      <c r="C7" s="6" t="str">
        <f ca="1">IFERROR(__xludf.DUMMYFUNCTION("""COMPUTED_VALUE"""),"yes ")</f>
        <v xml:space="preserve">yes </v>
      </c>
      <c r="D7" s="6"/>
    </row>
    <row r="8" spans="1:4" ht="15.75" customHeight="1" x14ac:dyDescent="0.15">
      <c r="A8" s="5" t="s">
        <v>7</v>
      </c>
      <c r="B8" s="6" t="str">
        <f ca="1">IFERROR(__xludf.DUMMYFUNCTION("""COMPUTED_VALUE"""),"this is the longest ORF")</f>
        <v>this is the longest ORF</v>
      </c>
      <c r="C8" s="6" t="str">
        <f ca="1">IFERROR(__xludf.DUMMYFUNCTION("""COMPUTED_VALUE"""),"yes ")</f>
        <v xml:space="preserve">yes </v>
      </c>
      <c r="D8" s="6"/>
    </row>
    <row r="9" spans="1:4" ht="15.75" customHeight="1" x14ac:dyDescent="0.15">
      <c r="A9" s="5" t="s">
        <v>8</v>
      </c>
      <c r="B9" s="6" t="str">
        <f ca="1">IFERROR(__xludf.DUMMYFUNCTION("""COMPUTED_VALUE"""),"Gap of 91 nucleotide")</f>
        <v>Gap of 91 nucleotide</v>
      </c>
      <c r="C9" s="6" t="str">
        <f ca="1">IFERROR(__xludf.DUMMYFUNCTION("""COMPUTED_VALUE"""),"93 nt gap")</f>
        <v>93 nt gap</v>
      </c>
      <c r="D9" s="6"/>
    </row>
    <row r="10" spans="1:4" ht="15.75" customHeight="1" x14ac:dyDescent="0.15">
      <c r="A10" s="5" t="s">
        <v>9</v>
      </c>
      <c r="B10" s="6" t="str">
        <f ca="1">IFERROR(__xludf.DUMMYFUNCTION("""COMPUTED_VALUE"""),"Z-score 2.133, F-score -4.326")</f>
        <v>Z-score 2.133, F-score -4.326</v>
      </c>
      <c r="C10" s="6" t="str">
        <f ca="1">IFERROR(__xludf.DUMMYFUNCTION("""COMPUTED_VALUE"""),"there is only 1 start but it has a good Zscore (2.133)")</f>
        <v>there is only 1 start but it has a good Zscore (2.133)</v>
      </c>
      <c r="D10" s="6"/>
    </row>
    <row r="11" spans="1:4" ht="15.75" customHeight="1" x14ac:dyDescent="0.15">
      <c r="A11" s="5" t="s">
        <v>10</v>
      </c>
      <c r="B11" s="6" t="str">
        <f ca="1">IFERROR(__xludf.DUMMYFUNCTION("""COMPUTED_VALUE"""),"Nandita_17, 100.00% identity, 4e-27")</f>
        <v>Nandita_17, 100.00% identity, 4e-27</v>
      </c>
      <c r="C11" s="6"/>
      <c r="D11" s="6"/>
    </row>
    <row r="12" spans="1:4" ht="15.75" customHeight="1" x14ac:dyDescent="0.15">
      <c r="A12" s="5" t="s">
        <v>11</v>
      </c>
      <c r="B12" s="6" t="str">
        <f ca="1">IFERROR(__xludf.DUMMYFUNCTION("""COMPUTED_VALUE"""),"Found in 100% of pham and is called 100% of the time")</f>
        <v>Found in 100% of pham and is called 100% of the time</v>
      </c>
      <c r="C12" s="6" t="str">
        <f ca="1">IFERROR(__xludf.DUMMYFUNCTION("""COMPUTED_VALUE"""),"start is concerved called 12 out of 12 times ")</f>
        <v xml:space="preserve">start is concerved called 12 out of 12 times </v>
      </c>
      <c r="D12" s="6"/>
    </row>
    <row r="13" spans="1:4" ht="15.75" customHeight="1" x14ac:dyDescent="0.15">
      <c r="A13" s="5" t="s">
        <v>12</v>
      </c>
      <c r="B13" s="6" t="str">
        <f ca="1">IFERROR(__xludf.DUMMYFUNCTION("""COMPUTED_VALUE"""),"No change ")</f>
        <v xml:space="preserve">No change </v>
      </c>
      <c r="C13" s="6" t="str">
        <f ca="1">IFERROR(__xludf.DUMMYFUNCTION("""COMPUTED_VALUE"""),"no, although there is a large gap there is no previous start to move to because a stop codon exists before any previous starts. However, the frames on DNA Master show two starts in between gene 15 and 16 that could be a gene. ")</f>
        <v xml:space="preserve">no, although there is a large gap there is no previous start to move to because a stop codon exists before any previous starts. However, the frames on DNA Master show two starts in between gene 15 and 16 that could be a gene. </v>
      </c>
      <c r="D13" s="6"/>
    </row>
    <row r="14" spans="1:4" ht="15.75" customHeight="1" x14ac:dyDescent="0.15">
      <c r="A14" s="5" t="s">
        <v>13</v>
      </c>
      <c r="B14" s="6" t="str">
        <f ca="1">IFERROR(__xludf.DUMMYFUNCTION("""COMPUTED_VALUE"""),"Ryan_17,  3e-23 
QuinnAvery_17, 3e-23 
Nandita_17, 3e-23 ")</f>
        <v xml:space="preserve">Ryan_17,  3e-23 
QuinnAvery_17, 3e-23 
Nandita_17, 3e-23 </v>
      </c>
      <c r="C14" s="6" t="str">
        <f ca="1">IFERROR(__xludf.DUMMYFUNCTION("""COMPUTED_VALUE"""),"Ryan_17, 3e-23 ")</f>
        <v xml:space="preserve">Ryan_17, 3e-23 </v>
      </c>
      <c r="D14" s="6"/>
    </row>
    <row r="15" spans="1:4" ht="15.75" customHeight="1" x14ac:dyDescent="0.15">
      <c r="A15" s="5" t="s">
        <v>14</v>
      </c>
      <c r="B15" s="6" t="str">
        <f ca="1">IFERROR(__xludf.DUMMYFUNCTION("""COMPUTED_VALUE"""),"function unknown")</f>
        <v>function unknown</v>
      </c>
      <c r="C15" s="6" t="str">
        <f ca="1">IFERROR(__xludf.DUMMYFUNCTION("""COMPUTED_VALUE"""),"function unknown ")</f>
        <v xml:space="preserve">function unknown </v>
      </c>
      <c r="D15" s="6"/>
    </row>
    <row r="16" spans="1:4" ht="15.75" customHeight="1" x14ac:dyDescent="0.15">
      <c r="A16" s="5" t="s">
        <v>15</v>
      </c>
      <c r="B16" s="6" t="str">
        <f ca="1">IFERROR(__xludf.DUMMYFUNCTION("""COMPUTED_VALUE"""),"It looks and matches very well.")</f>
        <v>It looks and matches very well.</v>
      </c>
      <c r="C16" s="6" t="str">
        <f ca="1">IFERROR(__xludf.DUMMYFUNCTION("""COMPUTED_VALUE"""),"they have a similar genetic environment ")</f>
        <v xml:space="preserve">they have a similar genetic environment </v>
      </c>
      <c r="D16" s="6"/>
    </row>
    <row r="17" spans="1:4" ht="15.75" customHeight="1" x14ac:dyDescent="0.15">
      <c r="A17" s="5" t="s">
        <v>16</v>
      </c>
      <c r="B17" s="6" t="str">
        <f ca="1">IFERROR(__xludf.DUMMYFUNCTION("""COMPUTED_VALUE"""),"DNA POLYMERASE; herpes simplex virus, dna synthesis, sliding clamps, PCNA, processivity, DNA BINDING PROTEIN-TRANSFERASE COMPLEX; 2.7A {Human herpesvirus 1}
Probability: 27.95%
Query: 33%
Target:  50%
The functional domain in part of the target alignment.")</f>
        <v>DNA POLYMERASE; herpes simplex virus, dna synthesis, sliding clamps, PCNA, processivity, DNA BINDING PROTEIN-TRANSFERASE COMPLEX; 2.7A {Human herpesvirus 1}
Probability: 27.95%
Query: 33%
Target:  50%
The functional domain in part of the target alignment.</v>
      </c>
      <c r="C17" s="6" t="str">
        <f ca="1">IFERROR(__xludf.DUMMYFUNCTION("""COMPUTED_VALUE"""),"Uncharacterized gene 6.5 protein OS=Enterobacteria phage T3 OX=10759 GN=6.5 PE=4 SV=1
probability: 41.93
% alignment Q: 24.07%
% alignment T: 16.05%")</f>
        <v>Uncharacterized gene 6.5 protein OS=Enterobacteria phage T3 OX=10759 GN=6.5 PE=4 SV=1
probability: 41.93
% alignment Q: 24.07%
% alignment T: 16.05%</v>
      </c>
      <c r="D17" s="6"/>
    </row>
    <row r="18" spans="1:4" ht="15.75" customHeight="1" x14ac:dyDescent="0.15">
      <c r="A18" s="5" t="s">
        <v>17</v>
      </c>
      <c r="B18" s="6" t="str">
        <f ca="1">IFERROR(__xludf.DUMMYFUNCTION("""COMPUTED_VALUE"""),"none")</f>
        <v>none</v>
      </c>
      <c r="C18" s="6" t="str">
        <f ca="1">IFERROR(__xludf.DUMMYFUNCTION("""COMPUTED_VALUE"""),"no ")</f>
        <v xml:space="preserve">no </v>
      </c>
      <c r="D18" s="6"/>
    </row>
    <row r="19" spans="1:4" ht="15.75" customHeight="1" x14ac:dyDescent="0.15">
      <c r="A19" s="5" t="s">
        <v>18</v>
      </c>
      <c r="B19" s="6" t="str">
        <f ca="1">IFERROR(__xludf.DUMMYFUNCTION("""COMPUTED_VALUE"""),"none")</f>
        <v>none</v>
      </c>
      <c r="C19" s="6" t="str">
        <f ca="1">IFERROR(__xludf.DUMMYFUNCTION("""COMPUTED_VALUE"""),"no")</f>
        <v>no</v>
      </c>
      <c r="D19" s="6"/>
    </row>
    <row r="20" spans="1:4" ht="15.75" customHeight="1" x14ac:dyDescent="0.15">
      <c r="A20" s="5" t="s">
        <v>19</v>
      </c>
      <c r="B20" s="6" t="str">
        <f ca="1">IFERROR(__xludf.DUMMYFUNCTION("""COMPUTED_VALUE"""),"Unknown Function. There is nothing to tell what this function is for this gene.")</f>
        <v>Unknown Function. There is nothing to tell what this function is for this gene.</v>
      </c>
      <c r="C20" s="6" t="str">
        <f ca="1">IFERROR(__xludf.DUMMYFUNCTION("""COMPUTED_VALUE"""),"hypothetical protein, no good HHpred results Phagesdb Blast showed genes ofunknown function")</f>
        <v>hypothetical protein, no good HHpred results Phagesdb Blast showed genes ofunknown function</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IFERROR(__xludf.DUMMYFUNCTION("IMPORTRANGE(""https://docs.google.com/spreadsheets/d/1lnhM27PotbG3sLgv1l-Z-v-YjCyKJ0DlymQrusc2STA"", ""S18!B1:B22"")"),"Layla Baldwin")</f>
        <v>Layla Baldwin</v>
      </c>
      <c r="C1" s="11" t="str">
        <f ca="1">IFERROR(__xludf.DUMMYFUNCTION("IMPORTRANGE(""https://docs.google.com/spreadsheets/d/1WNEoccD374LriG_Vfas93mZuqp-YxPt_JlqNi2GnBVU"", ""S18!B1:B22"")"),"Tyler Thibodeaux")</f>
        <v>Tyler Thibodeaux</v>
      </c>
      <c r="D1" s="2" t="s">
        <v>0</v>
      </c>
    </row>
    <row r="2" spans="1:4" ht="15.75" customHeight="1" x14ac:dyDescent="0.15">
      <c r="A2" s="3" t="s">
        <v>1</v>
      </c>
      <c r="B2" s="4" t="str">
        <f ca="1">IFERROR(__xludf.DUMMYFUNCTION("""COMPUTED_VALUE"""),"10191-10529 Forward")</f>
        <v>10191-10529 Forward</v>
      </c>
      <c r="C2" s="4" t="str">
        <f ca="1">IFERROR(__xludf.DUMMYFUNCTION("""COMPUTED_VALUE"""),"10580 to 10963 (Forward)")</f>
        <v>10580 to 10963 (Forward)</v>
      </c>
      <c r="D2" s="4"/>
    </row>
    <row r="3" spans="1:4" ht="15.75" customHeight="1" x14ac:dyDescent="0.15">
      <c r="A3" s="5" t="s">
        <v>2</v>
      </c>
      <c r="B3" s="6" t="str">
        <f ca="1">IFERROR(__xludf.DUMMYFUNCTION("""COMPUTED_VALUE"""),"18 in Pham and PDB, 17 in DNAM")</f>
        <v>18 in Pham and PDB, 17 in DNAM</v>
      </c>
      <c r="C3" s="6" t="str">
        <f ca="1">IFERROR(__xludf.DUMMYFUNCTION("""COMPUTED_VALUE"""),"18 in DNAm, 19 in PHAM")</f>
        <v>18 in DNAm, 19 in PHAM</v>
      </c>
      <c r="D3" s="6"/>
    </row>
    <row r="4" spans="1:4" ht="15.75" customHeight="1" x14ac:dyDescent="0.15">
      <c r="A4" s="5" t="s">
        <v>3</v>
      </c>
      <c r="B4" s="6" t="str">
        <f ca="1">IFERROR(__xludf.DUMMYFUNCTION("""COMPUTED_VALUE"""),"5836 4/2/25")</f>
        <v>5836 4/2/25</v>
      </c>
      <c r="C4" s="6" t="str">
        <f ca="1">IFERROR(__xludf.DUMMYFUNCTION("""COMPUTED_VALUE"""),"pham 134378, 4-3-25")</f>
        <v>pham 134378, 4-3-25</v>
      </c>
      <c r="D4" s="6"/>
    </row>
    <row r="5" spans="1:4" ht="15.75" customHeight="1" x14ac:dyDescent="0.15">
      <c r="A5" s="5" t="s">
        <v>4</v>
      </c>
      <c r="B5" s="6" t="str">
        <f ca="1">IFERROR(__xludf.DUMMYFUNCTION("""COMPUTED_VALUE"""),"AbbyDaisy_15, ArV2_13")</f>
        <v>AbbyDaisy_15, ArV2_13</v>
      </c>
      <c r="C5" s="6" t="str">
        <f ca="1">IFERROR(__xludf.DUMMYFUNCTION("""COMPUTED_VALUE"""),"Nandita_18")</f>
        <v>Nandita_18</v>
      </c>
      <c r="D5" s="6"/>
    </row>
    <row r="6" spans="1:4" ht="15.75" customHeight="1" x14ac:dyDescent="0.15">
      <c r="A6" s="5" t="s">
        <v>5</v>
      </c>
      <c r="B6" s="6" t="str">
        <f ca="1">IFERROR(__xludf.DUMMYFUNCTION("""COMPUTED_VALUE"""),"Both call")</f>
        <v>Both call</v>
      </c>
      <c r="C6" s="6" t="str">
        <f ca="1">IFERROR(__xludf.DUMMYFUNCTION("""COMPUTED_VALUE"""),"Original Glimmer call @bp 10580. GeneMark calls start at 10565")</f>
        <v>Original Glimmer call @bp 10580. GeneMark calls start at 10565</v>
      </c>
      <c r="D6" s="6"/>
    </row>
    <row r="7" spans="1:4" ht="15.75" customHeight="1" x14ac:dyDescent="0.15">
      <c r="A7" s="5" t="s">
        <v>6</v>
      </c>
      <c r="B7" s="6" t="str">
        <f ca="1">IFERROR(__xludf.DUMMYFUNCTION("""COMPUTED_VALUE"""),"Good coding potential, tiny dip about 1/3 of the way in. Start captures potential. ")</f>
        <v xml:space="preserve">Good coding potential, tiny dip about 1/3 of the way in. Start captures potential. </v>
      </c>
      <c r="C7" s="6" t="str">
        <f ca="1">IFERROR(__xludf.DUMMYFUNCTION("""COMPUTED_VALUE"""),"It has ok coding potential ")</f>
        <v xml:space="preserve">It has ok coding potential </v>
      </c>
      <c r="D7" s="6"/>
    </row>
    <row r="8" spans="1:4" ht="15.75" customHeight="1" x14ac:dyDescent="0.15">
      <c r="A8" s="5" t="s">
        <v>7</v>
      </c>
      <c r="B8" s="6" t="str">
        <f ca="1">IFERROR(__xludf.DUMMYFUNCTION("""COMPUTED_VALUE"""),"Yes")</f>
        <v>Yes</v>
      </c>
      <c r="C8" s="6" t="str">
        <f ca="1">IFERROR(__xludf.DUMMYFUNCTION("""COMPUTED_VALUE"""),"Not the longest ")</f>
        <v xml:space="preserve">Not the longest </v>
      </c>
      <c r="D8" s="6"/>
    </row>
    <row r="9" spans="1:4" ht="15.75" customHeight="1" x14ac:dyDescent="0.15">
      <c r="A9" s="5" t="s">
        <v>8</v>
      </c>
      <c r="B9" s="6" t="str">
        <f ca="1">IFERROR(__xludf.DUMMYFUNCTION("""COMPUTED_VALUE"""),"31 bp gap")</f>
        <v>31 bp gap</v>
      </c>
      <c r="C9" s="6" t="str">
        <f ca="1">IFERROR(__xludf.DUMMYFUNCTION("""COMPUTED_VALUE"""),"51 gap ")</f>
        <v xml:space="preserve">51 gap </v>
      </c>
      <c r="D9" s="6"/>
    </row>
    <row r="10" spans="1:4" ht="15.75" customHeight="1" x14ac:dyDescent="0.15">
      <c r="A10" s="5" t="s">
        <v>9</v>
      </c>
      <c r="B10" s="6" t="str">
        <f ca="1">IFERROR(__xludf.DUMMYFUNCTION("""COMPUTED_VALUE"""),"Chosen start has best scores, z = 2.403, final = -3.897")</f>
        <v>Chosen start has best scores, z = 2.403, final = -3.897</v>
      </c>
      <c r="C10" s="6" t="str">
        <f ca="1">IFERROR(__xludf.DUMMYFUNCTION("""COMPUTED_VALUE"""),"Zscore=2.607. It is the best ")</f>
        <v xml:space="preserve">Zscore=2.607. It is the best </v>
      </c>
      <c r="D10" s="6"/>
    </row>
    <row r="11" spans="1:4" ht="15.75" customHeight="1" x14ac:dyDescent="0.15">
      <c r="A11" s="5" t="s">
        <v>10</v>
      </c>
      <c r="B11" s="6" t="str">
        <f ca="1">IFERROR(__xludf.DUMMYFUNCTION("""COMPUTED_VALUE"""),"Nandita, identity = 100, e = 3e-74, q1:s1. Zaheer, identity = 98.21, e = 6e-73, q1:s1")</f>
        <v>Nandita, identity = 100, e = 3e-74, q1:s1. Zaheer, identity = 98.21, e = 6e-73, q1:s1</v>
      </c>
      <c r="C11" s="6" t="str">
        <f ca="1">IFERROR(__xludf.DUMMYFUNCTION("""COMPUTED_VALUE"""),"tail assembly chaperone [Arthrobacter phage Nandit]. %identity= 99%, e=2e^-85, q1=s131")</f>
        <v>tail assembly chaperone [Arthrobacter phage Nandit]. %identity= 99%, e=2e^-85, q1=s131</v>
      </c>
      <c r="D11" s="6"/>
    </row>
    <row r="12" spans="1:4" ht="15.75" customHeight="1" x14ac:dyDescent="0.15">
      <c r="A12" s="5" t="s">
        <v>11</v>
      </c>
      <c r="B12" s="6" t="str">
        <f ca="1">IFERROR(__xludf.DUMMYFUNCTION("""COMPUTED_VALUE"""),"Found in 96.2% of genes and called 100% of the time when present.")</f>
        <v>Found in 96.2% of genes and called 100% of the time when present.</v>
      </c>
      <c r="C12" s="6" t="str">
        <f ca="1">IFERROR(__xludf.DUMMYFUNCTION("""COMPUTED_VALUE"""),"Conserved in mostof the members. IT is called 81% of the time ")</f>
        <v xml:space="preserve">Conserved in mostof the members. IT is called 81% of the time </v>
      </c>
      <c r="D12" s="6"/>
    </row>
    <row r="13" spans="1:4" ht="15.75" customHeight="1" x14ac:dyDescent="0.15">
      <c r="A13" s="5" t="s">
        <v>12</v>
      </c>
      <c r="B13" s="6" t="str">
        <f ca="1">IFERROR(__xludf.DUMMYFUNCTION("""COMPUTED_VALUE"""),"No, no reason to")</f>
        <v>No, no reason to</v>
      </c>
      <c r="C13" s="6" t="str">
        <f ca="1">IFERROR(__xludf.DUMMYFUNCTION("""COMPUTED_VALUE"""),"No")</f>
        <v>No</v>
      </c>
      <c r="D13" s="6"/>
    </row>
    <row r="14" spans="1:4" ht="15.75" customHeight="1" x14ac:dyDescent="0.15">
      <c r="A14" s="5" t="s">
        <v>13</v>
      </c>
      <c r="B14" s="6" t="str">
        <f ca="1">IFERROR(__xludf.DUMMYFUNCTION("""COMPUTED_VALUE"""),"Nandita_19, e = 5e-57, Zaheer_18, e = 4e-56")</f>
        <v>Nandita_19, e = 5e-57, Zaheer_18, e = 4e-56</v>
      </c>
      <c r="C14" s="6" t="str">
        <f ca="1">IFERROR(__xludf.DUMMYFUNCTION("""COMPUTED_VALUE"""),"Nandita_18, tail assembly chaperone, e=e^-69")</f>
        <v>Nandita_18, tail assembly chaperone, e=e^-69</v>
      </c>
      <c r="D14" s="6"/>
    </row>
    <row r="15" spans="1:4" ht="15.75" customHeight="1" x14ac:dyDescent="0.15">
      <c r="A15" s="5" t="s">
        <v>14</v>
      </c>
      <c r="B15" s="6" t="str">
        <f ca="1">IFERROR(__xludf.DUMMYFUNCTION("""COMPUTED_VALUE"""),"Nandita_19 - unkown function, Zaheer_18 - tail assembly chaperone")</f>
        <v>Nandita_19 - unkown function, Zaheer_18 - tail assembly chaperone</v>
      </c>
      <c r="C15" s="6" t="str">
        <f ca="1">IFERROR(__xludf.DUMMYFUNCTION("""COMPUTED_VALUE""")," tail assembly chaperone")</f>
        <v xml:space="preserve"> tail assembly chaperone</v>
      </c>
      <c r="D15" s="6"/>
    </row>
    <row r="16" spans="1:4" ht="15.75" customHeight="1" x14ac:dyDescent="0.15">
      <c r="A16" s="5" t="s">
        <v>15</v>
      </c>
      <c r="B16" s="6" t="str">
        <f ca="1">IFERROR(__xludf.DUMMYFUNCTION("""COMPUTED_VALUE"""),"Yes")</f>
        <v>Yes</v>
      </c>
      <c r="C16" s="6" t="str">
        <f ca="1">IFERROR(__xludf.DUMMYFUNCTION("""COMPUTED_VALUE"""),"It is found relatively in the same enviornment as nandita ")</f>
        <v xml:space="preserve">It is found relatively in the same enviornment as nandita </v>
      </c>
      <c r="D16" s="6"/>
    </row>
    <row r="17" spans="1:4" ht="15.75" customHeight="1" x14ac:dyDescent="0.15">
      <c r="A17" s="5" t="s">
        <v>16</v>
      </c>
      <c r="B17" s="6" t="str">
        <f ca="1">IFERROR(__xludf.DUMMYFUNCTION("""COMPUTED_VALUE"""),"VG24_BPML5 Tail assembly protein Gp24 OS=Mycobacterium phage L5 OX=31757 GN=24 PE=3 SV=1, probability = 98.85, aoq = 91.07, aot = 77.27")</f>
        <v>VG24_BPML5 Tail assembly protein Gp24 OS=Mycobacterium phage L5 OX=31757 GN=24 PE=3 SV=1, probability = 98.85, aoq = 91.07, aot = 77.27</v>
      </c>
      <c r="C17" s="6" t="str">
        <f ca="1">IFERROR(__xludf.DUMMYFUNCTION("""COMPUTED_VALUE"""),"TAP25_BPML5 Tail assembly protein Gp25, %prob=99.6%, %Q=.78%, %T=55%. ")</f>
        <v xml:space="preserve">TAP25_BPML5 Tail assembly protein Gp25, %prob=99.6%, %Q=.78%, %T=55%. </v>
      </c>
      <c r="D17" s="6"/>
    </row>
    <row r="18" spans="1:4" ht="15.75" customHeight="1" x14ac:dyDescent="0.15">
      <c r="A18" s="5" t="s">
        <v>17</v>
      </c>
      <c r="B18" s="6" t="str">
        <f ca="1">IFERROR(__xludf.DUMMYFUNCTION("""COMPUTED_VALUE"""),"No ")</f>
        <v xml:space="preserve">No </v>
      </c>
      <c r="C18" s="6" t="str">
        <f ca="1">IFERROR(__xludf.DUMMYFUNCTION("""COMPUTED_VALUE"""),"None")</f>
        <v>None</v>
      </c>
      <c r="D18" s="6"/>
    </row>
    <row r="19" spans="1:4" ht="15.75" customHeight="1" x14ac:dyDescent="0.15">
      <c r="A19" s="5" t="s">
        <v>18</v>
      </c>
      <c r="B19" s="6" t="str">
        <f ca="1">IFERROR(__xludf.DUMMYFUNCTION("""COMPUTED_VALUE"""),"No ")</f>
        <v xml:space="preserve">No </v>
      </c>
      <c r="C19" s="6" t="str">
        <f ca="1">IFERROR(__xludf.DUMMYFUNCTION("""COMPUTED_VALUE"""),"None")</f>
        <v>None</v>
      </c>
      <c r="D19" s="6"/>
    </row>
    <row r="20" spans="1:4" ht="15.75" customHeight="1" x14ac:dyDescent="0.15">
      <c r="A20" s="5" t="s">
        <v>19</v>
      </c>
      <c r="B20" s="6" t="str">
        <f ca="1">IFERROR(__xludf.DUMMYFUNCTION("""COMPUTED_VALUE"""),"tail assembly chaperone, supported by HHPred and Pham Synteny")</f>
        <v>tail assembly chaperone, supported by HHPred and Pham Synteny</v>
      </c>
      <c r="C20" s="6" t="str">
        <f ca="1">IFERROR(__xludf.DUMMYFUNCTION("""COMPUTED_VALUE"""),"tail assembly chaperone. This is due to the NCBI blast, phagesdb blast, and HHpred. ")</f>
        <v xml:space="preserve">tail assembly chaperone. This is due to the NCBI blast, phagesdb blast, and HHpred. </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2" t="str">
        <f ca="1">IFERROR(__xludf.DUMMYFUNCTION("IMPORTRANGE(""https://docs.google.com/spreadsheets/d/1JcP72URjln8m_02QQGZH43HhxTMRpkReW-wbnKU8b-0"", ""S19!B1:B22"")"),"Josiah Bolton")</f>
        <v>Josiah Bolton</v>
      </c>
      <c r="C1" s="11" t="str">
        <f ca="1">IFERROR(__xludf.DUMMYFUNCTION("IMPORTRANGE(""https://docs.google.com/spreadsheets/d/14y37YetMnZx9r75GG6HNm6HxdMfX_704WhJDUt8FSgU"", ""S19!B1:B22"")"),"Braden Brennan")</f>
        <v>Braden Brennan</v>
      </c>
      <c r="D1" s="2" t="s">
        <v>0</v>
      </c>
    </row>
    <row r="2" spans="1:4" ht="15.75" customHeight="1" x14ac:dyDescent="0.15">
      <c r="A2" s="3" t="s">
        <v>1</v>
      </c>
      <c r="B2" s="4" t="str">
        <f ca="1">IFERROR(__xludf.DUMMYFUNCTION("""COMPUTED_VALUE"""),"10580 - 10963 FOR")</f>
        <v>10580 - 10963 FOR</v>
      </c>
      <c r="C2" s="4" t="str">
        <f ca="1">IFERROR(__xludf.DUMMYFUNCTION("""COMPUTED_VALUE"""),"10580 - 10963 forward")</f>
        <v>10580 - 10963 forward</v>
      </c>
      <c r="D2" s="4"/>
    </row>
    <row r="3" spans="1:4" ht="15.75" customHeight="1" x14ac:dyDescent="0.15">
      <c r="A3" s="5" t="s">
        <v>2</v>
      </c>
      <c r="B3" s="6" t="str">
        <f ca="1">IFERROR(__xludf.DUMMYFUNCTION("""COMPUTED_VALUE"""),"18 in DNA Master
19 on Phamerator map")</f>
        <v>18 in DNA Master
19 on Phamerator map</v>
      </c>
      <c r="C3" s="6" t="str">
        <f ca="1">IFERROR(__xludf.DUMMYFUNCTION("""COMPUTED_VALUE"""),"19-PHAM and 18-DNAM")</f>
        <v>19-PHAM and 18-DNAM</v>
      </c>
      <c r="D3" s="6"/>
    </row>
    <row r="4" spans="1:4" ht="15.75" customHeight="1" x14ac:dyDescent="0.15">
      <c r="A4" s="5" t="s">
        <v>3</v>
      </c>
      <c r="B4" s="6" t="str">
        <f ca="1">IFERROR(__xludf.DUMMYFUNCTION("""COMPUTED_VALUE"""),"134378 4/8/2025")</f>
        <v>134378 4/8/2025</v>
      </c>
      <c r="C4" s="6" t="str">
        <f ca="1">IFERROR(__xludf.DUMMYFUNCTION("""COMPUTED_VALUE"""),"pham 134378   4/4/2025")</f>
        <v>pham 134378   4/4/2025</v>
      </c>
      <c r="D4" s="6"/>
    </row>
    <row r="5" spans="1:4" ht="15.75" customHeight="1" x14ac:dyDescent="0.15">
      <c r="A5" s="5" t="s">
        <v>4</v>
      </c>
      <c r="B5" s="6" t="str">
        <f ca="1">IFERROR(__xludf.DUMMYFUNCTION("""COMPUTED_VALUE"""),"Halloweekend 17")</f>
        <v>Halloweekend 17</v>
      </c>
      <c r="C5" s="6"/>
      <c r="D5" s="6"/>
    </row>
    <row r="6" spans="1:4" ht="15.75" customHeight="1" x14ac:dyDescent="0.15">
      <c r="A6" s="5" t="s">
        <v>5</v>
      </c>
      <c r="B6" s="6" t="str">
        <f ca="1">IFERROR(__xludf.DUMMYFUNCTION("""COMPUTED_VALUE"""),"Glimmer called at 10580
Genemark called at 10565.")</f>
        <v>Glimmer called at 10580
Genemark called at 10565.</v>
      </c>
      <c r="C6" s="6" t="str">
        <f ca="1">IFERROR(__xludf.DUMMYFUNCTION("""COMPUTED_VALUE"""),"Original Glimmer call @bp 10580 has strength 6.66; GeneMark calls start at 10565")</f>
        <v>Original Glimmer call @bp 10580 has strength 6.66; GeneMark calls start at 10565</v>
      </c>
      <c r="D6" s="6"/>
    </row>
    <row r="7" spans="1:4" ht="15.75" customHeight="1" x14ac:dyDescent="0.15">
      <c r="A7" s="5" t="s">
        <v>6</v>
      </c>
      <c r="B7" s="6" t="str">
        <f ca="1">IFERROR(__xludf.DUMMYFUNCTION("""COMPUTED_VALUE"""),"There is coding potential but not all is gathered, because glimmer may have not agreed on a start with genemark.")</f>
        <v>There is coding potential but not all is gathered, because glimmer may have not agreed on a start with genemark.</v>
      </c>
      <c r="C7" s="6" t="str">
        <f ca="1">IFERROR(__xludf.DUMMYFUNCTION("""COMPUTED_VALUE"""),"pretty good coding potential")</f>
        <v>pretty good coding potential</v>
      </c>
      <c r="D7" s="6"/>
    </row>
    <row r="8" spans="1:4" ht="15.75" customHeight="1" x14ac:dyDescent="0.15">
      <c r="A8" s="5" t="s">
        <v>7</v>
      </c>
      <c r="B8" s="6" t="str">
        <f ca="1">IFERROR(__xludf.DUMMYFUNCTION("""COMPUTED_VALUE"""),"This is not the longest ORF because a start was overlooked.")</f>
        <v>This is not the longest ORF because a start was overlooked.</v>
      </c>
      <c r="C8" s="6" t="str">
        <f ca="1">IFERROR(__xludf.DUMMYFUNCTION("""COMPUTED_VALUE"""),"No not the longest ")</f>
        <v xml:space="preserve">No not the longest </v>
      </c>
      <c r="D8" s="6"/>
    </row>
    <row r="9" spans="1:4" ht="15.75" customHeight="1" x14ac:dyDescent="0.15">
      <c r="A9" s="5" t="s">
        <v>8</v>
      </c>
      <c r="B9" s="6" t="str">
        <f ca="1">IFERROR(__xludf.DUMMYFUNCTION("""COMPUTED_VALUE"""),"A 51 bp gap.")</f>
        <v>A 51 bp gap.</v>
      </c>
      <c r="C9" s="6" t="str">
        <f ca="1">IFERROR(__xludf.DUMMYFUNCTION("""COMPUTED_VALUE"""),"51 nucleotide gap")</f>
        <v>51 nucleotide gap</v>
      </c>
      <c r="D9" s="6"/>
    </row>
    <row r="10" spans="1:4" ht="15.75" customHeight="1" x14ac:dyDescent="0.15">
      <c r="A10" s="5" t="s">
        <v>9</v>
      </c>
      <c r="B10" s="6" t="str">
        <f ca="1">IFERROR(__xludf.DUMMYFUNCTION("""COMPUTED_VALUE"""),"Z-score is 2.591 and the final score is -3.679. Another start considered is at 10565 with a z-score of 2.029 and a final score of -5.617.")</f>
        <v>Z-score is 2.591 and the final score is -3.679. Another start considered is at 10565 with a z-score of 2.029 and a final score of -5.617.</v>
      </c>
      <c r="C10" s="6" t="str">
        <f ca="1">IFERROR(__xludf.DUMMYFUNCTION("""COMPUTED_VALUE"""),"SD: -2.523  Z: 2.642  Final: -3.596")</f>
        <v>SD: -2.523  Z: 2.642  Final: -3.596</v>
      </c>
      <c r="D10" s="6"/>
    </row>
    <row r="11" spans="1:4" ht="15.75" customHeight="1" x14ac:dyDescent="0.15">
      <c r="A11" s="5" t="s">
        <v>10</v>
      </c>
      <c r="B11" s="6" t="str">
        <f ca="1">IFERROR(__xludf.DUMMYFUNCTION("""COMPUTED_VALUE"""),"Nandita 19 with 49% identity and e value of 2.35e-85 q1:s131")</f>
        <v>Nandita 19 with 49% identity and e value of 2.35e-85 q1:s131</v>
      </c>
      <c r="C11" s="6" t="str">
        <f ca="1">IFERROR(__xludf.DUMMYFUNCTION("""COMPUTED_VALUE"""),"tail assembly chaperone- Phages Cole, 49.0272% identity, ")</f>
        <v xml:space="preserve">tail assembly chaperone- Phages Cole, 49.0272% identity, </v>
      </c>
      <c r="D11" s="6"/>
    </row>
    <row r="12" spans="1:4" ht="15.75" customHeight="1" x14ac:dyDescent="0.15">
      <c r="A12" s="5" t="s">
        <v>11</v>
      </c>
      <c r="B12" s="6" t="str">
        <f ca="1">IFERROR(__xludf.DUMMYFUNCTION("""COMPUTED_VALUE"""),"Start 7 is in a few members of the pham and is called 61.1% of time when present.")</f>
        <v>Start 7 is in a few members of the pham and is called 61.1% of time when present.</v>
      </c>
      <c r="C12" s="6" t="str">
        <f ca="1">IFERROR(__xludf.DUMMYFUNCTION("""COMPUTED_VALUE"""),"Found in 18 of 22 ( 81.8% ) of genes in pham and called 61.1% of the time")</f>
        <v>Found in 18 of 22 ( 81.8% ) of genes in pham and called 61.1% of the time</v>
      </c>
      <c r="D12" s="6"/>
    </row>
    <row r="13" spans="1:4" ht="15.75" customHeight="1" x14ac:dyDescent="0.15">
      <c r="A13" s="5" t="s">
        <v>12</v>
      </c>
      <c r="B13" s="6" t="str">
        <f ca="1">IFERROR(__xludf.DUMMYFUNCTION("""COMPUTED_VALUE"""),"Yes start change to the 10565.")</f>
        <v>Yes start change to the 10565.</v>
      </c>
      <c r="C13" s="6" t="str">
        <f ca="1">IFERROR(__xludf.DUMMYFUNCTION("""COMPUTED_VALUE"""),"No better Z scores than other options")</f>
        <v>No better Z scores than other options</v>
      </c>
      <c r="D13" s="6"/>
    </row>
    <row r="14" spans="1:4" ht="15.75" customHeight="1" x14ac:dyDescent="0.15">
      <c r="A14" s="5" t="s">
        <v>13</v>
      </c>
      <c r="B14" s="6" t="str">
        <f ca="1">IFERROR(__xludf.DUMMYFUNCTION("""COMPUTED_VALUE"""),"Nandita 19 is with 0e0.")</f>
        <v>Nandita 19 is with 0e0.</v>
      </c>
      <c r="C14" s="6" t="str">
        <f ca="1">IFERROR(__xludf.DUMMYFUNCTION("""COMPUTED_VALUE"""),"Alatato_14 AllBusiness_18 ArV2_14 BlackSpider_16 CocoCinnamon_20 Donatella_18")</f>
        <v>Alatato_14 AllBusiness_18 ArV2_14 BlackSpider_16 CocoCinnamon_20 Donatella_18</v>
      </c>
      <c r="D14" s="6"/>
    </row>
    <row r="15" spans="1:4" ht="15.75" customHeight="1" x14ac:dyDescent="0.15">
      <c r="A15" s="5" t="s">
        <v>14</v>
      </c>
      <c r="B15" s="6" t="str">
        <f ca="1">IFERROR(__xludf.DUMMYFUNCTION("""COMPUTED_VALUE"""),"Nandita 19 is tail assembly chaperone.")</f>
        <v>Nandita 19 is tail assembly chaperone.</v>
      </c>
      <c r="C15" s="6" t="str">
        <f ca="1">IFERROR(__xludf.DUMMYFUNCTION("""COMPUTED_VALUE"""),"no funcion listed on phages db")</f>
        <v>no funcion listed on phages db</v>
      </c>
      <c r="D15" s="6"/>
    </row>
    <row r="16" spans="1:4" ht="15.75" customHeight="1" x14ac:dyDescent="0.15">
      <c r="A16" s="5" t="s">
        <v>15</v>
      </c>
      <c r="B16" s="6" t="str">
        <f ca="1">IFERROR(__xludf.DUMMYFUNCTION("""COMPUTED_VALUE"""),"Synteny would be expected in this gene.")</f>
        <v>Synteny would be expected in this gene.</v>
      </c>
      <c r="C16" s="6" t="str">
        <f ca="1">IFERROR(__xludf.DUMMYFUNCTION("""COMPUTED_VALUE"""),"Fits well into the sequence and matches its nearby genes")</f>
        <v>Fits well into the sequence and matches its nearby genes</v>
      </c>
      <c r="D16" s="6"/>
    </row>
    <row r="17" spans="1:4" ht="15.75" customHeight="1" x14ac:dyDescent="0.15">
      <c r="A17" s="5" t="s">
        <v>16</v>
      </c>
      <c r="B17" s="6" t="str">
        <f ca="1">IFERROR(__xludf.DUMMYFUNCTION("""COMPUTED_VALUE""")," TAP25_BPML5 Tail assembly protein Gp25 OS=Mycobacterium phage L5 OX=31757 GN=25 PE=3 SV=2
Probability: 99.57% % alignment of query is 64.57% and % alignment of target is 30.15%. Functional domain is in target part of alignment.")</f>
        <v xml:space="preserve"> TAP25_BPML5 Tail assembly protein Gp25 OS=Mycobacterium phage L5 OX=31757 GN=25 PE=3 SV=2
Probability: 99.57% % alignment of query is 64.57% and % alignment of target is 30.15%. Functional domain is in target part of alignment.</v>
      </c>
      <c r="C17" s="6" t="str">
        <f ca="1">IFERROR(__xludf.DUMMYFUNCTION("""COMPUTED_VALUE"""),"DUF5361- 98.3% probability, E Val-0.00001
")</f>
        <v xml:space="preserve">DUF5361- 98.3% probability, E Val-0.00001
</v>
      </c>
      <c r="D17" s="6"/>
    </row>
    <row r="18" spans="1:4" ht="15.75" customHeight="1" x14ac:dyDescent="0.15">
      <c r="A18" s="5" t="s">
        <v>17</v>
      </c>
      <c r="B18" s="6" t="str">
        <f ca="1">IFERROR(__xludf.DUMMYFUNCTION("""COMPUTED_VALUE"""),"Unknown.")</f>
        <v>Unknown.</v>
      </c>
      <c r="C18" s="6" t="str">
        <f ca="1">IFERROR(__xludf.DUMMYFUNCTION("""COMPUTED_VALUE"""),"No conserve domain given")</f>
        <v>No conserve domain given</v>
      </c>
      <c r="D18" s="6"/>
    </row>
    <row r="19" spans="1:4" ht="15.75" customHeight="1" x14ac:dyDescent="0.15">
      <c r="A19" s="5" t="s">
        <v>18</v>
      </c>
      <c r="B19" s="6" t="str">
        <f ca="1">IFERROR(__xludf.DUMMYFUNCTION("""COMPUTED_VALUE"""),"None.")</f>
        <v>None.</v>
      </c>
      <c r="C19" s="6" t="str">
        <f ca="1">IFERROR(__xludf.DUMMYFUNCTION("""COMPUTED_VALUE"""),"interior protein with a probability of one")</f>
        <v>interior protein with a probability of one</v>
      </c>
      <c r="D19" s="6"/>
    </row>
    <row r="20" spans="1:4" ht="15.75" customHeight="1" x14ac:dyDescent="0.15">
      <c r="A20" s="5" t="s">
        <v>19</v>
      </c>
      <c r="B20" s="6" t="str">
        <f ca="1">IFERROR(__xludf.DUMMYFUNCTION("""COMPUTED_VALUE"""),"Tail assembly chaperone due to the framshift that occurred in the gene, this can lead to believe that HHPred and PECAAN  helped identify this specific function.")</f>
        <v>Tail assembly chaperone due to the framshift that occurred in the gene, this can lead to believe that HHPred and PECAAN  helped identify this specific function.</v>
      </c>
      <c r="C20" s="6" t="str">
        <f ca="1">IFERROR(__xludf.DUMMYFUNCTION("""COMPUTED_VALUE"""),"Probably a DUF but could be a tail assembly chaperone")</f>
        <v>Probably a DUF but could be a tail assembly chaperone</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IFERROR(__xludf.DUMMYFUNCTION("IMPORTRANGE(""https://docs.google.com/spreadsheets/d/12D2a8_yN9-M20Swe1qSSTzsOdHwl9WpMkqw3nyC2tRc"", ""S20!B1:B22"")"),"Noelle Labadens")</f>
        <v>Noelle Labadens</v>
      </c>
      <c r="C1" s="11" t="str">
        <f ca="1">IFERROR(__xludf.DUMMYFUNCTION("IMPORTRANGE(""https://docs.google.com/spreadsheets/d/1WNEoccD374LriG_Vfas93mZuqp-YxPt_JlqNi2GnBVU"", ""S20!B1:B22"")"),"Tyler Thibodeaux ")</f>
        <v xml:space="preserve">Tyler Thibodeaux </v>
      </c>
      <c r="D1" s="2" t="s">
        <v>0</v>
      </c>
    </row>
    <row r="2" spans="1:4" ht="15.75" customHeight="1" x14ac:dyDescent="0.15">
      <c r="A2" s="3" t="s">
        <v>1</v>
      </c>
      <c r="B2" s="4" t="str">
        <f ca="1">IFERROR(__xludf.DUMMYFUNCTION("""COMPUTED_VALUE"""),"10985-15799 FOR")</f>
        <v>10985-15799 FOR</v>
      </c>
      <c r="C2" s="4" t="str">
        <f ca="1">IFERROR(__xludf.DUMMYFUNCTION("""COMPUTED_VALUE"""),"15809 to 16729 (Forward)")</f>
        <v>15809 to 16729 (Forward)</v>
      </c>
      <c r="D2" s="4"/>
    </row>
    <row r="3" spans="1:4" ht="15.75" customHeight="1" x14ac:dyDescent="0.15">
      <c r="A3" s="5" t="s">
        <v>2</v>
      </c>
      <c r="B3" s="6" t="str">
        <f ca="1">IFERROR(__xludf.DUMMYFUNCTION("""COMPUTED_VALUE"""),"DNA Master: 19; Phamerator: 20")</f>
        <v>DNA Master: 19; Phamerator: 20</v>
      </c>
      <c r="C3" s="6" t="str">
        <f ca="1">IFERROR(__xludf.DUMMYFUNCTION("""COMPUTED_VALUE"""),"20 in DNAm and 21 in PHAM ")</f>
        <v xml:space="preserve">20 in DNAm and 21 in PHAM </v>
      </c>
      <c r="D3" s="6"/>
    </row>
    <row r="4" spans="1:4" ht="15.75" customHeight="1" x14ac:dyDescent="0.15">
      <c r="A4" s="5" t="s">
        <v>3</v>
      </c>
      <c r="B4" s="6" t="str">
        <f ca="1">IFERROR(__xludf.DUMMYFUNCTION("""COMPUTED_VALUE"""),"pham 6420 3/31/25")</f>
        <v>pham 6420 3/31/25</v>
      </c>
      <c r="C4" s="6" t="str">
        <f ca="1">IFERROR(__xludf.DUMMYFUNCTION("""COMPUTED_VALUE"""),"pham 224457, 4-3-25")</f>
        <v>pham 224457, 4-3-25</v>
      </c>
      <c r="D4" s="6"/>
    </row>
    <row r="5" spans="1:4" ht="15.75" customHeight="1" x14ac:dyDescent="0.15">
      <c r="A5" s="5" t="s">
        <v>4</v>
      </c>
      <c r="B5" s="6" t="str">
        <f ca="1">IFERROR(__xludf.DUMMYFUNCTION("""COMPUTED_VALUE"""),"GoodLuckBabe_20, Nandita_20")</f>
        <v>GoodLuckBabe_20, Nandita_20</v>
      </c>
      <c r="C5" s="6" t="str">
        <f ca="1">IFERROR(__xludf.DUMMYFUNCTION("""COMPUTED_VALUE"""),"Nandita_21 ")</f>
        <v xml:space="preserve">Nandita_21 </v>
      </c>
      <c r="D5" s="6"/>
    </row>
    <row r="6" spans="1:4" ht="15.75" customHeight="1" x14ac:dyDescent="0.15">
      <c r="A6" s="5" t="s">
        <v>5</v>
      </c>
      <c r="B6" s="6" t="str">
        <f ca="1">IFERROR(__xludf.DUMMYFUNCTION("""COMPUTED_VALUE"""),"both")</f>
        <v>both</v>
      </c>
      <c r="C6" s="6" t="str">
        <f ca="1">IFERROR(__xludf.DUMMYFUNCTION("""COMPUTED_VALUE"""),"Original Glimmer call @bp 15809")</f>
        <v>Original Glimmer call @bp 15809</v>
      </c>
      <c r="D6" s="6"/>
    </row>
    <row r="7" spans="1:4" ht="15.75" customHeight="1" x14ac:dyDescent="0.15">
      <c r="A7" s="5" t="s">
        <v>6</v>
      </c>
      <c r="B7" s="6" t="str">
        <f ca="1">IFERROR(__xludf.DUMMYFUNCTION("""COMPUTED_VALUE"""),"pretty good coding potential, it's a huge gene! it's a little wobbly in some places but not bad. captures whole gene.")</f>
        <v>pretty good coding potential, it's a huge gene! it's a little wobbly in some places but not bad. captures whole gene.</v>
      </c>
      <c r="C7" s="6" t="str">
        <f ca="1">IFERROR(__xludf.DUMMYFUNCTION("""COMPUTED_VALUE"""),"It has ok coding potential. ")</f>
        <v xml:space="preserve">It has ok coding potential. </v>
      </c>
      <c r="D7" s="6"/>
    </row>
    <row r="8" spans="1:4" ht="15.75" customHeight="1" x14ac:dyDescent="0.15">
      <c r="A8" s="5" t="s">
        <v>7</v>
      </c>
      <c r="B8" s="6" t="str">
        <f ca="1">IFERROR(__xludf.DUMMYFUNCTION("""COMPUTED_VALUE"""),"yes")</f>
        <v>yes</v>
      </c>
      <c r="C8" s="6" t="str">
        <f ca="1">IFERROR(__xludf.DUMMYFUNCTION("""COMPUTED_VALUE"""),"It is the longest possible")</f>
        <v>It is the longest possible</v>
      </c>
      <c r="D8" s="6"/>
    </row>
    <row r="9" spans="1:4" ht="15.75" customHeight="1" x14ac:dyDescent="0.15">
      <c r="A9" s="5" t="s">
        <v>8</v>
      </c>
      <c r="B9" s="6" t="str">
        <f ca="1">IFERROR(__xludf.DUMMYFUNCTION("""COMPUTED_VALUE"""),"22 nt gap")</f>
        <v>22 nt gap</v>
      </c>
      <c r="C9" s="6" t="str">
        <f ca="1">IFERROR(__xludf.DUMMYFUNCTION("""COMPUTED_VALUE"""),"48 gap ")</f>
        <v xml:space="preserve">48 gap </v>
      </c>
      <c r="D9" s="6"/>
    </row>
    <row r="10" spans="1:4" ht="15.75" customHeight="1" x14ac:dyDescent="0.15">
      <c r="A10" s="5" t="s">
        <v>9</v>
      </c>
      <c r="B10" s="6" t="str">
        <f ca="1">IFERROR(__xludf.DUMMYFUNCTION("""COMPUTED_VALUE"""),"z score: 2.591. later z scores are bad.")</f>
        <v>z score: 2.591. later z scores are bad.</v>
      </c>
      <c r="C10" s="6" t="str">
        <f ca="1">IFERROR(__xludf.DUMMYFUNCTION("""COMPUTED_VALUE"""),"Z score= 2.058. It is the best score")</f>
        <v>Z score= 2.058. It is the best score</v>
      </c>
      <c r="D10" s="6"/>
    </row>
    <row r="11" spans="1:4" ht="15.75" customHeight="1" x14ac:dyDescent="0.15">
      <c r="A11" s="5" t="s">
        <v>10</v>
      </c>
      <c r="B11" s="6" t="str">
        <f ca="1">IFERROR(__xludf.DUMMYFUNCTION("""COMPUTED_VALUE"""),"Nandita_20, 99%, 0.0, q:1, s:1; Guinevere_20, 99%, 0.0 q:1 s:1. a lot of good matches")</f>
        <v>Nandita_20, 99%, 0.0, q:1, s:1; Guinevere_20, 99%, 0.0 q:1 s:1. a lot of good matches</v>
      </c>
      <c r="C11" s="6" t="str">
        <f ca="1">IFERROR(__xludf.DUMMYFUNCTION("""COMPUTED_VALUE"""),"minor tail protein [Arthrobacter phage Nandita]. 100% identity, e=0.0, q1:s1")</f>
        <v>minor tail protein [Arthrobacter phage Nandita]. 100% identity, e=0.0, q1:s1</v>
      </c>
      <c r="D11" s="6"/>
    </row>
    <row r="12" spans="1:4" ht="15.75" customHeight="1" x14ac:dyDescent="0.15">
      <c r="A12" s="5" t="s">
        <v>11</v>
      </c>
      <c r="B12" s="6" t="str">
        <f ca="1">IFERROR(__xludf.DUMMYFUNCTION("""COMPUTED_VALUE"""),"no, called 100% of the time. most annotated start. mostly FF clusters. Nandita and Guinevere call this start.")</f>
        <v>no, called 100% of the time. most annotated start. mostly FF clusters. Nandita and Guinevere call this start.</v>
      </c>
      <c r="C12" s="6" t="str">
        <f ca="1">IFERROR(__xludf.DUMMYFUNCTION("""COMPUTED_VALUE"""),"It is found in 1/4 of the pham. It is called a 100% of the time ")</f>
        <v xml:space="preserve">It is found in 1/4 of the pham. It is called a 100% of the time </v>
      </c>
      <c r="D12" s="6"/>
    </row>
    <row r="13" spans="1:4" ht="15.75" customHeight="1" x14ac:dyDescent="0.15">
      <c r="A13" s="5" t="s">
        <v>12</v>
      </c>
      <c r="B13" s="6" t="str">
        <f ca="1">IFERROR(__xludf.DUMMYFUNCTION("""COMPUTED_VALUE"""),"no. no earlier starts so i cant fix the gap, the start is called 100% of the time and is called in the blast matches. later z scores are bad.")</f>
        <v>no. no earlier starts so i cant fix the gap, the start is called 100% of the time and is called in the blast matches. later z scores are bad.</v>
      </c>
      <c r="C13" s="6" t="str">
        <f ca="1">IFERROR(__xludf.DUMMYFUNCTION("""COMPUTED_VALUE"""),"None ")</f>
        <v xml:space="preserve">None </v>
      </c>
      <c r="D13" s="6"/>
    </row>
    <row r="14" spans="1:4" ht="15.75" customHeight="1" x14ac:dyDescent="0.15">
      <c r="A14" s="5" t="s">
        <v>13</v>
      </c>
      <c r="B14" s="6" t="str">
        <f ca="1">IFERROR(__xludf.DUMMYFUNCTION("""COMPUTED_VALUE"""),"Nandita_20 0.0, Guinevere_20 0.0")</f>
        <v>Nandita_20 0.0, Guinevere_20 0.0</v>
      </c>
      <c r="C14" s="6" t="str">
        <f ca="1">IFERROR(__xludf.DUMMYFUNCTION("""COMPUTED_VALUE"""),"Nandita_21, minor tail protein, e=0.0")</f>
        <v>Nandita_21, minor tail protein, e=0.0</v>
      </c>
      <c r="D14" s="6"/>
    </row>
    <row r="15" spans="1:4" ht="15.75" customHeight="1" x14ac:dyDescent="0.15">
      <c r="A15" s="5" t="s">
        <v>14</v>
      </c>
      <c r="B15" s="6" t="str">
        <f ca="1">IFERROR(__xludf.DUMMYFUNCTION("""COMPUTED_VALUE"""),"Tape Measure Protein - Nandita_20")</f>
        <v>Tape Measure Protein - Nandita_20</v>
      </c>
      <c r="C15" s="6" t="str">
        <f ca="1">IFERROR(__xludf.DUMMYFUNCTION("""COMPUTED_VALUE""")," minor tail protein")</f>
        <v xml:space="preserve"> minor tail protein</v>
      </c>
      <c r="D15" s="6"/>
    </row>
    <row r="16" spans="1:4" ht="15.75" customHeight="1" x14ac:dyDescent="0.15">
      <c r="A16" s="5" t="s">
        <v>15</v>
      </c>
      <c r="B16" s="6" t="str">
        <f ca="1">IFERROR(__xludf.DUMMYFUNCTION("""COMPUTED_VALUE"""),"good synteny, all genes to be expected")</f>
        <v>good synteny, all genes to be expected</v>
      </c>
      <c r="C16" s="6" t="str">
        <f ca="1">IFERROR(__xludf.DUMMYFUNCTION("""COMPUTED_VALUE"""),"It is in the same enviornment as nandita ")</f>
        <v xml:space="preserve">It is in the same enviornment as nandita </v>
      </c>
      <c r="D16" s="6"/>
    </row>
    <row r="17" spans="1:4" ht="15.75" customHeight="1" x14ac:dyDescent="0.15">
      <c r="A17" s="5" t="s">
        <v>16</v>
      </c>
      <c r="B17" s="6" t="str">
        <f ca="1">IFERROR(__xludf.DUMMYFUNCTION("""COMPUTED_VALUE"""),"Tape Measure Protein, gp57; phage tail, tail tip, tape measure protein, VIRAL PROTEIN; 3.7A {Staphylococcus virus 80alph; 99.99%, q:3.18%; t:4.42%. yes.")</f>
        <v>Tape Measure Protein, gp57; phage tail, tail tip, tape measure protein, VIRAL PROTEIN; 3.7A {Staphylococcus virus 80alph; 99.99%, q:3.18%; t:4.42%. yes.</v>
      </c>
      <c r="C17" s="6" t="str">
        <f ca="1">IFERROR(__xludf.DUMMYFUNCTION("""COMPUTED_VALUE"""),"Minor tail protein, %prob:99.83, e=8.5e-19, %q=4.5%, %T=.14%")</f>
        <v>Minor tail protein, %prob:99.83, e=8.5e-19, %q=4.5%, %T=.14%</v>
      </c>
      <c r="D17" s="6"/>
    </row>
    <row r="18" spans="1:4" ht="15.75" customHeight="1" x14ac:dyDescent="0.15">
      <c r="A18" s="5" t="s">
        <v>17</v>
      </c>
      <c r="B18" s="6" t="str">
        <f ca="1">IFERROR(__xludf.DUMMYFUNCTION("""COMPUTED_VALUE"""),"a lot!!! ")</f>
        <v xml:space="preserve">a lot!!! </v>
      </c>
      <c r="C18" s="6" t="str">
        <f ca="1">IFERROR(__xludf.DUMMYFUNCTION("""COMPUTED_VALUE"""),"Sipho_tail")</f>
        <v>Sipho_tail</v>
      </c>
      <c r="D18" s="6"/>
    </row>
    <row r="19" spans="1:4" ht="15.75" customHeight="1" x14ac:dyDescent="0.15">
      <c r="A19" s="5" t="s">
        <v>18</v>
      </c>
      <c r="B19" s="6" t="str">
        <f ca="1">IFERROR(__xludf.DUMMYFUNCTION("""COMPUTED_VALUE"""),"domain match")</f>
        <v>domain match</v>
      </c>
      <c r="C19" s="6" t="str">
        <f ca="1">IFERROR(__xludf.DUMMYFUNCTION("""COMPUTED_VALUE"""),"None ")</f>
        <v xml:space="preserve">None </v>
      </c>
      <c r="D19" s="6"/>
    </row>
    <row r="20" spans="1:4" ht="15.75" customHeight="1" x14ac:dyDescent="0.15">
      <c r="A20" s="5" t="s">
        <v>19</v>
      </c>
      <c r="B20" s="6" t="str">
        <f ca="1">IFERROR(__xludf.DUMMYFUNCTION("""COMPUTED_VALUE"""),"Tape Measure Protein. nandita calls it and hhpred confirms it")</f>
        <v>Tape Measure Protein. nandita calls it and hhpred confirms it</v>
      </c>
      <c r="C20" s="6" t="str">
        <f ca="1">IFERROR(__xludf.DUMMYFUNCTION("""COMPUTED_VALUE"""),"minor tail protein. This is due to the NCBI blast, HHpred, and Phages db blast, as well as the synteny. ")</f>
        <v xml:space="preserve">minor tail protein. This is due to the NCBI blast, HHpred, and Phages db blast, as well as the synteny. </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IFERROR(__xludf.DUMMYFUNCTION("IMPORTRANGE(""https://docs.google.com/spreadsheets/d/1JcP72URjln8m_02QQGZH43HhxTMRpkReW-wbnKU8b-0"", ""S21!B1:B22"")"),"Josiah Bolton")</f>
        <v>Josiah Bolton</v>
      </c>
      <c r="C1" s="11" t="str">
        <f ca="1">IFERROR(__xludf.DUMMYFUNCTION("IMPORTRANGE(""https://docs.google.com/spreadsheets/d/1rjebY3ldoEXrRbLWoPXCIhvF_kMyOvJr_yst6T3o1Qk"", ""S21!B1:B22"")"),"Zachary Edwards")</f>
        <v>Zachary Edwards</v>
      </c>
      <c r="D1" s="2" t="s">
        <v>0</v>
      </c>
    </row>
    <row r="2" spans="1:4" ht="15.75" customHeight="1" x14ac:dyDescent="0.15">
      <c r="A2" s="3" t="s">
        <v>1</v>
      </c>
      <c r="B2" s="4" t="str">
        <f ca="1">IFERROR(__xludf.DUMMYFUNCTION("""COMPUTED_VALUE"""),"15809 - 16729 FOR")</f>
        <v>15809 - 16729 FOR</v>
      </c>
      <c r="C2" s="4" t="str">
        <f ca="1">IFERROR(__xludf.DUMMYFUNCTION("""COMPUTED_VALUE"""),"PHAM Start:15809 Stop:16729
DNAM Start:15809 Stop:16729 
FOR")</f>
        <v>PHAM Start:15809 Stop:16729
DNAM Start:15809 Stop:16729 
FOR</v>
      </c>
      <c r="D2" s="4"/>
    </row>
    <row r="3" spans="1:4" ht="15.75" customHeight="1" x14ac:dyDescent="0.15">
      <c r="A3" s="5" t="s">
        <v>2</v>
      </c>
      <c r="B3" s="6" t="str">
        <f ca="1">IFERROR(__xludf.DUMMYFUNCTION("""COMPUTED_VALUE"""),"20 in DNA Master
21 on Phamerator map")</f>
        <v>20 in DNA Master
21 on Phamerator map</v>
      </c>
      <c r="C3" s="6" t="str">
        <f ca="1">IFERROR(__xludf.DUMMYFUNCTION("""COMPUTED_VALUE"""),"PHAM: Gene 21
DNAM: Gene 20")</f>
        <v>PHAM: Gene 21
DNAM: Gene 20</v>
      </c>
      <c r="D3" s="6"/>
    </row>
    <row r="4" spans="1:4" ht="15.75" customHeight="1" x14ac:dyDescent="0.15">
      <c r="A4" s="5" t="s">
        <v>3</v>
      </c>
      <c r="B4" s="6" t="str">
        <f ca="1">IFERROR(__xludf.DUMMYFUNCTION("""COMPUTED_VALUE"""),"224457 4/10/2025")</f>
        <v>224457 4/10/2025</v>
      </c>
      <c r="C4" s="6" t="str">
        <f ca="1">IFERROR(__xludf.DUMMYFUNCTION("""COMPUTED_VALUE"""),"224457 3/31/25")</f>
        <v>224457 3/31/25</v>
      </c>
      <c r="D4" s="6"/>
    </row>
    <row r="5" spans="1:4" ht="15.75" customHeight="1" x14ac:dyDescent="0.15">
      <c r="A5" s="5" t="s">
        <v>4</v>
      </c>
      <c r="B5" s="6" t="str">
        <f ca="1">IFERROR(__xludf.DUMMYFUNCTION("""COMPUTED_VALUE"""),"Nandita 21")</f>
        <v>Nandita 21</v>
      </c>
      <c r="C5" s="6" t="str">
        <f ca="1">IFERROR(__xludf.DUMMYFUNCTION("""COMPUTED_VALUE"""),"Nandita_21")</f>
        <v>Nandita_21</v>
      </c>
      <c r="D5" s="6"/>
    </row>
    <row r="6" spans="1:4" ht="15.75" customHeight="1" x14ac:dyDescent="0.15">
      <c r="A6" s="5" t="s">
        <v>5</v>
      </c>
      <c r="B6" s="6" t="str">
        <f ca="1">IFERROR(__xludf.DUMMYFUNCTION("""COMPUTED_VALUE"""),"Both support this gene call.")</f>
        <v>Both support this gene call.</v>
      </c>
      <c r="C6" s="6" t="str">
        <f ca="1">IFERROR(__xludf.DUMMYFUNCTION("""COMPUTED_VALUE"""),"Both agree on start")</f>
        <v>Both agree on start</v>
      </c>
      <c r="D6" s="6"/>
    </row>
    <row r="7" spans="1:4" ht="15.75" customHeight="1" x14ac:dyDescent="0.15">
      <c r="A7" s="5" t="s">
        <v>6</v>
      </c>
      <c r="B7" s="6" t="str">
        <f ca="1">IFERROR(__xludf.DUMMYFUNCTION("""COMPUTED_VALUE"""),"Has decent coding potential
All coding potential is included.")</f>
        <v>Has decent coding potential
All coding potential is included.</v>
      </c>
      <c r="C7" s="6" t="str">
        <f ca="1">IFERROR(__xludf.DUMMYFUNCTION("""COMPUTED_VALUE"""),"All coding is included, however the open reading frame dips in the middle")</f>
        <v>All coding is included, however the open reading frame dips in the middle</v>
      </c>
      <c r="D7" s="6"/>
    </row>
    <row r="8" spans="1:4" ht="15.75" customHeight="1" x14ac:dyDescent="0.15">
      <c r="A8" s="5" t="s">
        <v>7</v>
      </c>
      <c r="B8" s="6" t="str">
        <f ca="1">IFERROR(__xludf.DUMMYFUNCTION("""COMPUTED_VALUE"""),"This is the longest ORF.")</f>
        <v>This is the longest ORF.</v>
      </c>
      <c r="C8" s="6" t="str">
        <f ca="1">IFERROR(__xludf.DUMMYFUNCTION("""COMPUTED_VALUE"""),"Yes")</f>
        <v>Yes</v>
      </c>
      <c r="D8" s="6"/>
    </row>
    <row r="9" spans="1:4" ht="15.75" customHeight="1" x14ac:dyDescent="0.15">
      <c r="A9" s="5" t="s">
        <v>8</v>
      </c>
      <c r="B9" s="6" t="str">
        <f ca="1">IFERROR(__xludf.DUMMYFUNCTION("""COMPUTED_VALUE"""),"10 nucleotide bp gap.")</f>
        <v>10 nucleotide bp gap.</v>
      </c>
      <c r="C9" s="6" t="str">
        <f ca="1">IFERROR(__xludf.DUMMYFUNCTION("""COMPUTED_VALUE"""),"10 NT gap")</f>
        <v>10 NT gap</v>
      </c>
      <c r="D9" s="6"/>
    </row>
    <row r="10" spans="1:4" ht="15.75" customHeight="1" x14ac:dyDescent="0.15">
      <c r="A10" s="5" t="s">
        <v>9</v>
      </c>
      <c r="B10" s="6" t="str">
        <f ca="1">IFERROR(__xludf.DUMMYFUNCTION("""COMPUTED_VALUE"""),"Z-score is 2.119 with a final score of -4.326. Best score.")</f>
        <v>Z-score is 2.119 with a final score of -4.326. Best score.</v>
      </c>
      <c r="C10" s="6" t="str">
        <f ca="1">IFERROR(__xludf.DUMMYFUNCTION("""COMPUTED_VALUE"""),"Current 2.133 (15809) Best")</f>
        <v>Current 2.133 (15809) Best</v>
      </c>
      <c r="D10" s="6"/>
    </row>
    <row r="11" spans="1:4" ht="15.75" customHeight="1" x14ac:dyDescent="0.15">
      <c r="A11" s="5" t="s">
        <v>10</v>
      </c>
      <c r="B11" s="6" t="str">
        <f ca="1">IFERROR(__xludf.DUMMYFUNCTION("""COMPUTED_VALUE"""),"Nandita 21 with % identity 100% e value is 0e0. q1:s1")</f>
        <v>Nandita 21 with % identity 100% e value is 0e0. q1:s1</v>
      </c>
      <c r="C11" s="6" t="str">
        <f ca="1">IFERROR(__xludf.DUMMYFUNCTION("""COMPUTED_VALUE"""),"Nandita_21
%ID:100%
E:0
1:1")</f>
        <v>Nandita_21
%ID:100%
E:0
1:1</v>
      </c>
      <c r="D11" s="6"/>
    </row>
    <row r="12" spans="1:4" ht="15.75" customHeight="1" x14ac:dyDescent="0.15">
      <c r="A12" s="5" t="s">
        <v>11</v>
      </c>
      <c r="B12" s="6" t="str">
        <f ca="1">IFERROR(__xludf.DUMMYFUNCTION("""COMPUTED_VALUE"""),"Many members of the pham consider start 12 and is called 100% of time when present.")</f>
        <v>Many members of the pham consider start 12 and is called 100% of time when present.</v>
      </c>
      <c r="C12" s="6" t="str">
        <f ca="1">IFERROR(__xludf.DUMMYFUNCTION("""COMPUTED_VALUE"""),"29 of 103 call current start")</f>
        <v>29 of 103 call current start</v>
      </c>
      <c r="D12" s="6"/>
    </row>
    <row r="13" spans="1:4" ht="15.75" customHeight="1" x14ac:dyDescent="0.15">
      <c r="A13" s="5" t="s">
        <v>12</v>
      </c>
      <c r="B13" s="6" t="str">
        <f ca="1">IFERROR(__xludf.DUMMYFUNCTION("""COMPUTED_VALUE"""),"No start change because of good z score and the coding potential is included.")</f>
        <v>No start change because of good z score and the coding potential is included.</v>
      </c>
      <c r="C13" s="6" t="str">
        <f ca="1">IFERROR(__xludf.DUMMYFUNCTION("""COMPUTED_VALUE"""),"No reason to.")</f>
        <v>No reason to.</v>
      </c>
      <c r="D13" s="6"/>
    </row>
    <row r="14" spans="1:4" ht="15.75" customHeight="1" x14ac:dyDescent="0.15">
      <c r="A14" s="5" t="s">
        <v>13</v>
      </c>
      <c r="B14" s="6" t="str">
        <f ca="1">IFERROR(__xludf.DUMMYFUNCTION("""COMPUTED_VALUE"""),"Nandita 21 with e value 1e-180")</f>
        <v>Nandita 21 with e value 1e-180</v>
      </c>
      <c r="C14" s="6" t="str">
        <f ca="1">IFERROR(__xludf.DUMMYFUNCTION("""COMPUTED_VALUE"""),"Nandita_21
E:-180")</f>
        <v>Nandita_21
E:-180</v>
      </c>
      <c r="D14" s="6"/>
    </row>
    <row r="15" spans="1:4" ht="15.75" customHeight="1" x14ac:dyDescent="0.15">
      <c r="A15" s="5" t="s">
        <v>14</v>
      </c>
      <c r="B15" s="6" t="str">
        <f ca="1">IFERROR(__xludf.DUMMYFUNCTION("""COMPUTED_VALUE"""),"Nandita 21 is a minor tail protein")</f>
        <v>Nandita 21 is a minor tail protein</v>
      </c>
      <c r="C15" s="6" t="str">
        <f ca="1">IFERROR(__xludf.DUMMYFUNCTION("""COMPUTED_VALUE"""),"Minor Tail Protein")</f>
        <v>Minor Tail Protein</v>
      </c>
      <c r="D15" s="6"/>
    </row>
    <row r="16" spans="1:4" ht="15.75" customHeight="1" x14ac:dyDescent="0.15">
      <c r="A16" s="5" t="s">
        <v>15</v>
      </c>
      <c r="B16" s="6" t="str">
        <f ca="1">IFERROR(__xludf.DUMMYFUNCTION("""COMPUTED_VALUE"""),"Synteny would be expected with Nandita 21.")</f>
        <v>Synteny would be expected with Nandita 21.</v>
      </c>
      <c r="C16" s="6" t="str">
        <f ca="1">IFERROR(__xludf.DUMMYFUNCTION("""COMPUTED_VALUE"""),"Same Genetic Environment as nandita")</f>
        <v>Same Genetic Environment as nandita</v>
      </c>
      <c r="D16" s="6"/>
    </row>
    <row r="17" spans="1:4" ht="15.75" customHeight="1" x14ac:dyDescent="0.15">
      <c r="A17" s="5" t="s">
        <v>16</v>
      </c>
      <c r="B17" s="6" t="str">
        <f ca="1">IFERROR(__xludf.DUMMYFUNCTION("""COMPUTED_VALUE"""),"HYPOTHETICAL PROTEIN 19.1; VIRAL PROTEIN, DISTAL TAIL PROTEIN; 2.95A {BACILLUS PHAGE SPP1} Probability is 99.97%, % alignment of query is 77.78% and % alignment of target is 94.44%. The functional domain is in target part of alignment.")</f>
        <v>HYPOTHETICAL PROTEIN 19.1; VIRAL PROTEIN, DISTAL TAIL PROTEIN; 2.95A {BACILLUS PHAGE SPP1} Probability is 99.97%, % alignment of query is 77.78% and % alignment of target is 94.44%. The functional domain is in target part of alignment.</v>
      </c>
      <c r="C17" s="6" t="str">
        <f ca="1">IFERROR(__xludf.DUMMYFUNCTION("""COMPUTED_VALUE"""),"O64221 VG27_BPMD2 Minor tail protein Gp27 OS=Mycobacterium phage D29 OX=28369 GN=27 PE=4 SV=1
Probability: 99.95%
Align Q: 90.85%
Align T: 82.74%")</f>
        <v>O64221 VG27_BPMD2 Minor tail protein Gp27 OS=Mycobacterium phage D29 OX=28369 GN=27 PE=4 SV=1
Probability: 99.95%
Align Q: 90.85%
Align T: 82.74%</v>
      </c>
      <c r="D17" s="6"/>
    </row>
    <row r="18" spans="1:4" ht="15.75" customHeight="1" x14ac:dyDescent="0.15">
      <c r="A18" s="5" t="s">
        <v>17</v>
      </c>
      <c r="B18" s="6" t="str">
        <f ca="1">IFERROR(__xludf.DUMMYFUNCTION("""COMPUTED_VALUE"""),"Phage tail protein/sipho tail
Protein Alignment Data:
Query Start (Amino Acid Position): 56
Query End (Amino Acid Position): 300
E-Value: 0.0000120432")</f>
        <v>Phage tail protein/sipho tail
Protein Alignment Data:
Query Start (Amino Acid Position): 56
Query End (Amino Acid Position): 300
E-Value: 0.0000120432</v>
      </c>
      <c r="C18" s="6" t="str">
        <f ca="1">IFERROR(__xludf.DUMMYFUNCTION("""COMPUTED_VALUE"""),"Sipho_tail")</f>
        <v>Sipho_tail</v>
      </c>
      <c r="D18" s="6"/>
    </row>
    <row r="19" spans="1:4" ht="15.75" customHeight="1" x14ac:dyDescent="0.15">
      <c r="A19" s="5" t="s">
        <v>18</v>
      </c>
      <c r="B19" s="6" t="str">
        <f ca="1">IFERROR(__xludf.DUMMYFUNCTION("""COMPUTED_VALUE"""),"None.")</f>
        <v>None.</v>
      </c>
      <c r="C19" s="6" t="str">
        <f ca="1">IFERROR(__xludf.DUMMYFUNCTION("""COMPUTED_VALUE"""),"N/A")</f>
        <v>N/A</v>
      </c>
      <c r="D19" s="6"/>
    </row>
    <row r="20" spans="1:4" ht="15.75" customHeight="1" x14ac:dyDescent="0.15">
      <c r="A20" s="5" t="s">
        <v>19</v>
      </c>
      <c r="B20" s="6" t="str">
        <f ca="1">IFERROR(__xludf.DUMMYFUNCTION("""COMPUTED_VALUE"""),"Minor tail protein because of the synteny with Nandita. The Conserved domain match, HHPred, NCBI Blast, PhagesDB, and Phamerator help make this call.")</f>
        <v>Minor tail protein because of the synteny with Nandita. The Conserved domain match, HHPred, NCBI Blast, PhagesDB, and Phamerator help make this call.</v>
      </c>
      <c r="C20" s="6" t="str">
        <f ca="1">IFERROR(__xludf.DUMMYFUNCTION("""COMPUTED_VALUE"""),"Minor Tail Protein, Blast indicate, identical to Nandiata_21, in addition almost the whole family is minor tail protein")</f>
        <v>Minor Tail Protein, Blast indicate, identical to Nandiata_21, in addition almost the whole family is minor tail protein</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IFERROR(__xludf.DUMMYFUNCTION("IMPORTRANGE(""https://docs.google.com/spreadsheets/d/1rjebY3ldoEXrRbLWoPXCIhvF_kMyOvJr_yst6T3o1Qk"", ""S22!B1:B22"")"),"Zachary Edwards")</f>
        <v>Zachary Edwards</v>
      </c>
      <c r="C1" s="11" t="str">
        <f ca="1">IFERROR(__xludf.DUMMYFUNCTION("IMPORTRANGE(""https://docs.google.com/spreadsheets/d/1mDoveT5ogJcal0bN308rf9jioMYsAcKe21Otdt4nuTk"", ""S22!B1:B22"")"),"Put Your Name Here")</f>
        <v>Put Your Name Here</v>
      </c>
      <c r="D1" s="2" t="s">
        <v>0</v>
      </c>
    </row>
    <row r="2" spans="1:4" ht="15.75" customHeight="1" x14ac:dyDescent="0.15">
      <c r="A2" s="3" t="s">
        <v>1</v>
      </c>
      <c r="B2" s="4" t="str">
        <f ca="1">IFERROR(__xludf.DUMMYFUNCTION("""COMPUTED_VALUE"""),"DNAM  Start:16732 - Stop:17805:
PHAM Start:16732 - Stop:17805 
FOR")</f>
        <v>DNAM  Start:16732 - Stop:17805:
PHAM Start:16732 - Stop:17805 
FOR</v>
      </c>
      <c r="C2" s="4" t="str">
        <f ca="1">IFERROR(__xludf.DUMMYFUNCTION("""COMPUTED_VALUE"""),"16732 - 17805 FOW")</f>
        <v>16732 - 17805 FOW</v>
      </c>
      <c r="D2" s="4"/>
    </row>
    <row r="3" spans="1:4" ht="15.75" customHeight="1" x14ac:dyDescent="0.15">
      <c r="A3" s="5" t="s">
        <v>2</v>
      </c>
      <c r="B3" s="6" t="str">
        <f ca="1">IFERROR(__xludf.DUMMYFUNCTION("""COMPUTED_VALUE"""),"DNAM:21
PHAM:22")</f>
        <v>DNAM:21
PHAM:22</v>
      </c>
      <c r="C3" s="6" t="str">
        <f ca="1">IFERROR(__xludf.DUMMYFUNCTION("""COMPUTED_VALUE"""),"DNA Master_21
Phamerator_22")</f>
        <v>DNA Master_21
Phamerator_22</v>
      </c>
      <c r="D3" s="6"/>
    </row>
    <row r="4" spans="1:4" ht="15.75" customHeight="1" x14ac:dyDescent="0.15">
      <c r="A4" s="5" t="s">
        <v>3</v>
      </c>
      <c r="B4" s="6" t="str">
        <f ca="1">IFERROR(__xludf.DUMMYFUNCTION("""COMPUTED_VALUE"""),"224422 3/31/25")</f>
        <v>224422 3/31/25</v>
      </c>
      <c r="C4" s="6" t="str">
        <f ca="1">IFERROR(__xludf.DUMMYFUNCTION("""COMPUTED_VALUE"""),"224422 4/2/25")</f>
        <v>224422 4/2/25</v>
      </c>
      <c r="D4" s="6"/>
    </row>
    <row r="5" spans="1:4" ht="15.75" customHeight="1" x14ac:dyDescent="0.15">
      <c r="A5" s="5" t="s">
        <v>4</v>
      </c>
      <c r="B5" s="6" t="str">
        <f ca="1">IFERROR(__xludf.DUMMYFUNCTION("""COMPUTED_VALUE"""),"Nandita_22 ")</f>
        <v xml:space="preserve">Nandita_22 </v>
      </c>
      <c r="C5" s="6" t="str">
        <f ca="1">IFERROR(__xludf.DUMMYFUNCTION("""COMPUTED_VALUE"""),"Nandita_17")</f>
        <v>Nandita_17</v>
      </c>
      <c r="D5" s="6"/>
    </row>
    <row r="6" spans="1:4" ht="15.75" customHeight="1" x14ac:dyDescent="0.15">
      <c r="A6" s="5" t="s">
        <v>5</v>
      </c>
      <c r="B6" s="6" t="str">
        <f ca="1">IFERROR(__xludf.DUMMYFUNCTION("""COMPUTED_VALUE"""),"Both agree on start")</f>
        <v>Both agree on start</v>
      </c>
      <c r="C6" s="6" t="str">
        <f ca="1">IFERROR(__xludf.DUMMYFUNCTION("""COMPUTED_VALUE"""),"both call @bp 16732 strength 11.80")</f>
        <v>both call @bp 16732 strength 11.80</v>
      </c>
      <c r="D6" s="6"/>
    </row>
    <row r="7" spans="1:4" ht="15.75" customHeight="1" x14ac:dyDescent="0.15">
      <c r="A7" s="5" t="s">
        <v>6</v>
      </c>
      <c r="B7" s="6" t="str">
        <f ca="1">IFERROR(__xludf.DUMMYFUNCTION("""COMPUTED_VALUE"""),"All is included but dips in the open reading frame")</f>
        <v>All is included but dips in the open reading frame</v>
      </c>
      <c r="C7" s="6" t="str">
        <f ca="1">IFERROR(__xludf.DUMMYFUNCTION("""COMPUTED_VALUE"""),"yes")</f>
        <v>yes</v>
      </c>
      <c r="D7" s="6"/>
    </row>
    <row r="8" spans="1:4" ht="15.75" customHeight="1" x14ac:dyDescent="0.15">
      <c r="A8" s="5" t="s">
        <v>7</v>
      </c>
      <c r="B8" s="6" t="str">
        <f ca="1">IFERROR(__xludf.DUMMYFUNCTION("""COMPUTED_VALUE"""),"No, one earlier start")</f>
        <v>No, one earlier start</v>
      </c>
      <c r="C8" s="6" t="str">
        <f ca="1">IFERROR(__xludf.DUMMYFUNCTION("""COMPUTED_VALUE"""),"no, there is one previous start")</f>
        <v>no, there is one previous start</v>
      </c>
      <c r="D8" s="6"/>
    </row>
    <row r="9" spans="1:4" ht="15.75" customHeight="1" x14ac:dyDescent="0.15">
      <c r="A9" s="5" t="s">
        <v>8</v>
      </c>
      <c r="B9" s="6" t="str">
        <f ca="1">IFERROR(__xludf.DUMMYFUNCTION("""COMPUTED_VALUE"""),"3 NT gap")</f>
        <v>3 NT gap</v>
      </c>
      <c r="C9" s="6" t="str">
        <f ca="1">IFERROR(__xludf.DUMMYFUNCTION("""COMPUTED_VALUE"""),"4 nt gap ")</f>
        <v xml:space="preserve">4 nt gap </v>
      </c>
      <c r="D9" s="6"/>
    </row>
    <row r="10" spans="1:4" ht="15.75" customHeight="1" x14ac:dyDescent="0.15">
      <c r="A10" s="5" t="s">
        <v>9</v>
      </c>
      <c r="B10" s="6" t="str">
        <f ca="1">IFERROR(__xludf.DUMMYFUNCTION("""COMPUTED_VALUE"""),"Current 1.712 (16732) Ealier 0.403 (16720)
Alt: 2.226 (16993) best, 2.138 (17392)")</f>
        <v>Current 1.712 (16732) Ealier 0.403 (16720)
Alt: 2.226 (16993) best, 2.138 (17392)</v>
      </c>
      <c r="C10" s="6" t="str">
        <f ca="1">IFERROR(__xludf.DUMMYFUNCTION("""COMPUTED_VALUE"""),"Current start has an okay Zscore (1.712), start 7 at nt 16993 has the best Zscore (2.226) ")</f>
        <v xml:space="preserve">Current start has an okay Zscore (1.712), start 7 at nt 16993 has the best Zscore (2.226) </v>
      </c>
      <c r="D10" s="6"/>
    </row>
    <row r="11" spans="1:4" ht="15.75" customHeight="1" x14ac:dyDescent="0.15">
      <c r="A11" s="5" t="s">
        <v>10</v>
      </c>
      <c r="B11" s="6" t="str">
        <f ca="1">IFERROR(__xludf.DUMMYFUNCTION("""COMPUTED_VALUE"""),"Nandita_22
%ID: 100%
E: 0
1:1")</f>
        <v>Nandita_22
%ID: 100%
E: 0
1:1</v>
      </c>
      <c r="C11" s="6"/>
      <c r="D11" s="6"/>
    </row>
    <row r="12" spans="1:4" ht="15.75" customHeight="1" x14ac:dyDescent="0.15">
      <c r="A12" s="5" t="s">
        <v>11</v>
      </c>
      <c r="B12" s="6" t="str">
        <f ca="1">IFERROR(__xludf.DUMMYFUNCTION("""COMPUTED_VALUE"""),"18 of 144 call current start (Most of FF)")</f>
        <v>18 of 144 call current start (Most of FF)</v>
      </c>
      <c r="C12" s="6" t="str">
        <f ca="1">IFERROR(__xludf.DUMMYFUNCTION("""COMPUTED_VALUE"""),"no, start 9 called 18 114 times")</f>
        <v>no, start 9 called 18 114 times</v>
      </c>
      <c r="D12" s="6"/>
    </row>
    <row r="13" spans="1:4" ht="15.75" customHeight="1" x14ac:dyDescent="0.15">
      <c r="A13" s="5" t="s">
        <v>12</v>
      </c>
      <c r="B13" s="6" t="str">
        <f ca="1">IFERROR(__xludf.DUMMYFUNCTION("""COMPUTED_VALUE"""),"Although the Z-score isn't the greatest the evidence isn't great enoguh to change a start just based on z-score")</f>
        <v>Although the Z-score isn't the greatest the evidence isn't great enoguh to change a start just based on z-score</v>
      </c>
      <c r="C13" s="6" t="str">
        <f ca="1">IFERROR(__xludf.DUMMYFUNCTION("""COMPUTED_VALUE"""),"no, the current start does not violate any guiding principles and although the Zscore isn't the best the starterator report is concerved.")</f>
        <v>no, the current start does not violate any guiding principles and although the Zscore isn't the best the starterator report is concerved.</v>
      </c>
      <c r="D13" s="6"/>
    </row>
    <row r="14" spans="1:4" ht="15.75" customHeight="1" x14ac:dyDescent="0.15">
      <c r="A14" s="5" t="s">
        <v>13</v>
      </c>
      <c r="B14" s="6" t="str">
        <f ca="1">IFERROR(__xludf.DUMMYFUNCTION("""COMPUTED_VALUE"""),"Nandita_22 
E: 0")</f>
        <v>Nandita_22 
E: 0</v>
      </c>
      <c r="C14" s="6" t="str">
        <f ca="1">IFERROR(__xludf.DUMMYFUNCTION("""COMPUTED_VALUE"""),"Nandita_22, 0.0
Lenoxika_Draft_22, 0.0")</f>
        <v>Nandita_22, 0.0
Lenoxika_Draft_22, 0.0</v>
      </c>
      <c r="D14" s="6"/>
    </row>
    <row r="15" spans="1:4" ht="15.75" customHeight="1" x14ac:dyDescent="0.15">
      <c r="A15" s="5" t="s">
        <v>14</v>
      </c>
      <c r="B15" s="6" t="str">
        <f ca="1">IFERROR(__xludf.DUMMYFUNCTION("""COMPUTED_VALUE"""),"Minor Tail Protein")</f>
        <v>Minor Tail Protein</v>
      </c>
      <c r="C15" s="6" t="str">
        <f ca="1">IFERROR(__xludf.DUMMYFUNCTION("""COMPUTED_VALUE"""),"minor tail protein
funciton unknown ")</f>
        <v xml:space="preserve">minor tail protein
funciton unknown </v>
      </c>
      <c r="D15" s="6"/>
    </row>
    <row r="16" spans="1:4" ht="15.75" customHeight="1" x14ac:dyDescent="0.15">
      <c r="A16" s="5" t="s">
        <v>15</v>
      </c>
      <c r="B16" s="6" t="str">
        <f ca="1">IFERROR(__xludf.DUMMYFUNCTION("""COMPUTED_VALUE"""),"In the same genetic environment as nandita_22")</f>
        <v>In the same genetic environment as nandita_22</v>
      </c>
      <c r="C16" s="6" t="str">
        <f ca="1">IFERROR(__xludf.DUMMYFUNCTION("""COMPUTED_VALUE"""),"all have same genetic environments ")</f>
        <v xml:space="preserve">all have same genetic environments </v>
      </c>
      <c r="D16" s="6"/>
    </row>
    <row r="17" spans="1:4" ht="15.75" customHeight="1" x14ac:dyDescent="0.15">
      <c r="A17" s="5" t="s">
        <v>16</v>
      </c>
      <c r="B17" s="6" t="str">
        <f ca="1">IFERROR(__xludf.DUMMYFUNCTION("""COMPUTED_VALUE"""),"Nothing of Reasonable compatibility")</f>
        <v>Nothing of Reasonable compatibility</v>
      </c>
      <c r="C17" s="6" t="str">
        <f ca="1">IFERROR(__xludf.DUMMYFUNCTION("""COMPUTED_VALUE"""),"Receptor Binding Protein; beta sandwich domain, phage receptor binding protein
probability: 98.73
% alignment Q: 33.89%
% alignment T: 30.79%")</f>
        <v>Receptor Binding Protein; beta sandwich domain, phage receptor binding protein
probability: 98.73
% alignment Q: 33.89%
% alignment T: 30.79%</v>
      </c>
      <c r="D17" s="6"/>
    </row>
    <row r="18" spans="1:4" ht="15.75" customHeight="1" x14ac:dyDescent="0.15">
      <c r="A18" s="5" t="s">
        <v>17</v>
      </c>
      <c r="B18" s="6" t="str">
        <f ca="1">IFERROR(__xludf.DUMMYFUNCTION("""COMPUTED_VALUE"""),"DUF")</f>
        <v>DUF</v>
      </c>
      <c r="C18" s="6" t="str">
        <f ca="1">IFERROR(__xludf.DUMMYFUNCTION("""COMPUTED_VALUE"""),"no")</f>
        <v>no</v>
      </c>
      <c r="D18" s="6"/>
    </row>
    <row r="19" spans="1:4" ht="15.75" customHeight="1" x14ac:dyDescent="0.15">
      <c r="A19" s="5" t="s">
        <v>18</v>
      </c>
      <c r="B19" s="6" t="str">
        <f ca="1">IFERROR(__xludf.DUMMYFUNCTION("""COMPUTED_VALUE"""),"N/A")</f>
        <v>N/A</v>
      </c>
      <c r="C19" s="6" t="str">
        <f ca="1">IFERROR(__xludf.DUMMYFUNCTION("""COMPUTED_VALUE"""),"no")</f>
        <v>no</v>
      </c>
      <c r="D19" s="6"/>
    </row>
    <row r="20" spans="1:4" ht="15.75" customHeight="1" x14ac:dyDescent="0.15">
      <c r="A20" s="5" t="s">
        <v>19</v>
      </c>
      <c r="B20" s="6" t="str">
        <f ca="1">IFERROR(__xludf.DUMMYFUNCTION("""COMPUTED_VALUE"""),"Minor Tail Protein, identical amino acid sequence as Nandita")</f>
        <v>Minor Tail Protein, identical amino acid sequence as Nandita</v>
      </c>
      <c r="C20" s="6" t="str">
        <f ca="1">IFERROR(__xludf.DUMMYFUNCTION("""COMPUTED_VALUE"""),"function unknown, poor HHpred results no functional domain identitified.")</f>
        <v>function unknown, poor HHpred results no functional domain identitified.</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IFERROR(__xludf.DUMMYFUNCTION("IMPORTRANGE(""https://docs.google.com/spreadsheets/d/12D2a8_yN9-M20Swe1qSSTzsOdHwl9WpMkqw3nyC2tRc"", ""S23!B1:B22"")"),"Noelle Labadens")</f>
        <v>Noelle Labadens</v>
      </c>
      <c r="C1" s="11" t="str">
        <f ca="1">IFERROR(__xludf.DUMMYFUNCTION("IMPORTRANGE(""https://docs.google.com/spreadsheets/d/1NBZgc2wQWlGwpwt7AcCySCDz0bod7B0VKf0lrtlBP8Q"", ""S23!B1:B22"")"),"Jackson Root")</f>
        <v>Jackson Root</v>
      </c>
      <c r="D1" s="2" t="s">
        <v>0</v>
      </c>
    </row>
    <row r="2" spans="1:4" ht="15.75" customHeight="1" x14ac:dyDescent="0.15">
      <c r="A2" s="3" t="s">
        <v>1</v>
      </c>
      <c r="B2" s="4" t="str">
        <f ca="1">IFERROR(__xludf.DUMMYFUNCTION("""COMPUTED_VALUE"""),"17816-18220 FOR")</f>
        <v>17816-18220 FOR</v>
      </c>
      <c r="C2" s="4" t="str">
        <f ca="1">IFERROR(__xludf.DUMMYFUNCTION("""COMPUTED_VALUE"""),"Start: 17816; Stop: 18220   Forward")</f>
        <v>Start: 17816; Stop: 18220   Forward</v>
      </c>
      <c r="D2" s="4"/>
    </row>
    <row r="3" spans="1:4" ht="15.75" customHeight="1" x14ac:dyDescent="0.15">
      <c r="A3" s="5" t="s">
        <v>2</v>
      </c>
      <c r="B3" s="6" t="str">
        <f ca="1">IFERROR(__xludf.DUMMYFUNCTION("""COMPUTED_VALUE"""),"DNA Master: 22; Phamerator: 23")</f>
        <v>DNA Master: 22; Phamerator: 23</v>
      </c>
      <c r="C3" s="6" t="str">
        <f ca="1">IFERROR(__xludf.DUMMYFUNCTION("""COMPUTED_VALUE"""),"Pham: 23; DNA: 22")</f>
        <v>Pham: 23; DNA: 22</v>
      </c>
      <c r="D3" s="6"/>
    </row>
    <row r="4" spans="1:4" ht="15.75" customHeight="1" x14ac:dyDescent="0.15">
      <c r="A4" s="5" t="s">
        <v>3</v>
      </c>
      <c r="B4" s="6" t="str">
        <f ca="1">IFERROR(__xludf.DUMMYFUNCTION("""COMPUTED_VALUE"""),"pham 224351 3/31/25")</f>
        <v>pham 224351 3/31/25</v>
      </c>
      <c r="C4" s="6" t="str">
        <f ca="1">IFERROR(__xludf.DUMMYFUNCTION("""COMPUTED_VALUE"""),"pham 224351    04/01/25")</f>
        <v>pham 224351    04/01/25</v>
      </c>
      <c r="D4" s="6"/>
    </row>
    <row r="5" spans="1:4" ht="15.75" customHeight="1" x14ac:dyDescent="0.15">
      <c r="A5" s="5" t="s">
        <v>4</v>
      </c>
      <c r="B5" s="6" t="str">
        <f ca="1">IFERROR(__xludf.DUMMYFUNCTION("""COMPUTED_VALUE"""),"Albanese_23, Aoka_23")</f>
        <v>Albanese_23, Aoka_23</v>
      </c>
      <c r="C5" s="6" t="str">
        <f ca="1">IFERROR(__xludf.DUMMYFUNCTION("""COMPUTED_VALUE"""),"Nandita_23, Guinevere_23")</f>
        <v>Nandita_23, Guinevere_23</v>
      </c>
      <c r="D5" s="6"/>
    </row>
    <row r="6" spans="1:4" ht="15.75" customHeight="1" x14ac:dyDescent="0.15">
      <c r="A6" s="5" t="s">
        <v>5</v>
      </c>
      <c r="B6" s="6" t="str">
        <f ca="1">IFERROR(__xludf.DUMMYFUNCTION("""COMPUTED_VALUE"""),"glimmer called 17816. Genemark called 17798")</f>
        <v>glimmer called 17816. Genemark called 17798</v>
      </c>
      <c r="C6" s="6" t="str">
        <f ca="1">IFERROR(__xludf.DUMMYFUNCTION("""COMPUTED_VALUE"""),"Glimmer call 17816; Gene call 17798")</f>
        <v>Glimmer call 17816; Gene call 17798</v>
      </c>
      <c r="D6" s="6"/>
    </row>
    <row r="7" spans="1:4" ht="15.75" customHeight="1" x14ac:dyDescent="0.15">
      <c r="A7" s="5" t="s">
        <v>6</v>
      </c>
      <c r="B7" s="6" t="str">
        <f ca="1">IFERROR(__xludf.DUMMYFUNCTION("""COMPUTED_VALUE"""),"ok coding potential. doesn't capture all the gene.")</f>
        <v>ok coding potential. doesn't capture all the gene.</v>
      </c>
      <c r="C7" s="6" t="str">
        <f ca="1">IFERROR(__xludf.DUMMYFUNCTION("""COMPUTED_VALUE"""),"There is coding potential, there is a little coding potential it seems left out by the Glimmer call, but the genemark caputreds all potential")</f>
        <v>There is coding potential, there is a little coding potential it seems left out by the Glimmer call, but the genemark caputreds all potential</v>
      </c>
      <c r="D7" s="6"/>
    </row>
    <row r="8" spans="1:4" ht="15.75" customHeight="1" x14ac:dyDescent="0.15">
      <c r="A8" s="5" t="s">
        <v>7</v>
      </c>
      <c r="B8" s="6" t="str">
        <f ca="1">IFERROR(__xludf.DUMMYFUNCTION("""COMPUTED_VALUE"""),"no. there is one start before it at 17798 (genemark)")</f>
        <v>no. there is one start before it at 17798 (genemark)</v>
      </c>
      <c r="C8" s="6" t="str">
        <f ca="1">IFERROR(__xludf.DUMMYFUNCTION("""COMPUTED_VALUE"""),"with the glimmer prefered call not the longest ORF, with genemark it is the longest ORF")</f>
        <v>with the glimmer prefered call not the longest ORF, with genemark it is the longest ORF</v>
      </c>
      <c r="D8" s="6"/>
    </row>
    <row r="9" spans="1:4" ht="15.75" customHeight="1" x14ac:dyDescent="0.15">
      <c r="A9" s="5" t="s">
        <v>8</v>
      </c>
      <c r="B9" s="6" t="str">
        <f ca="1">IFERROR(__xludf.DUMMYFUNCTION("""COMPUTED_VALUE"""),"11 nt gap")</f>
        <v>11 nt gap</v>
      </c>
      <c r="C9" s="6" t="str">
        <f ca="1">IFERROR(__xludf.DUMMYFUNCTION("""COMPUTED_VALUE"""),"With glimmer: gap of 11 bp, with Genemark: overlap of 7 bp")</f>
        <v>With glimmer: gap of 11 bp, with Genemark: overlap of 7 bp</v>
      </c>
      <c r="D9" s="6"/>
    </row>
    <row r="10" spans="1:4" ht="15.75" customHeight="1" x14ac:dyDescent="0.15">
      <c r="A10" s="5" t="s">
        <v>9</v>
      </c>
      <c r="B10" s="6" t="str">
        <f ca="1">IFERROR(__xludf.DUMMYFUNCTION("""COMPUTED_VALUE"""),"z score: 1.843. none of the scores are at or above 2. genemarks start has the highest z score: 1.924")</f>
        <v>z score: 1.843. none of the scores are at or above 2. genemarks start has the highest z score: 1.924</v>
      </c>
      <c r="C10" s="6" t="str">
        <f ca="1">IFERROR(__xludf.DUMMYFUNCTION("""COMPUTED_VALUE"""),"Glimmer: Z: 1.839, Final: -4.934l; Gene: Z: 1.924, Final: -6.070")</f>
        <v>Glimmer: Z: 1.839, Final: -4.934l; Gene: Z: 1.924, Final: -6.070</v>
      </c>
      <c r="D10" s="6"/>
    </row>
    <row r="11" spans="1:4" ht="15.75" customHeight="1" x14ac:dyDescent="0.15">
      <c r="A11" s="5" t="s">
        <v>10</v>
      </c>
      <c r="B11" s="6" t="str">
        <f ca="1">IFERROR(__xludf.DUMMYFUNCTION("""COMPUTED_VALUE"""),"Lenoxika_23, 99%, 6e-73, q:1 s:1; Pucara_23, 97%, 3e-72 q:1, s:1")</f>
        <v>Lenoxika_23, 99%, 6e-73, q:1 s:1; Pucara_23, 97%, 3e-72 q:1, s:1</v>
      </c>
      <c r="C11" s="6"/>
      <c r="D11" s="6"/>
    </row>
    <row r="12" spans="1:4" ht="15.75" customHeight="1" x14ac:dyDescent="0.15">
      <c r="A12" s="5" t="s">
        <v>11</v>
      </c>
      <c r="B12" s="6" t="str">
        <f ca="1">IFERROR(__xludf.DUMMYFUNCTION("""COMPUTED_VALUE"""),"no. called 41.7% of the time when present. Lenoxika and Pucara call this start.")</f>
        <v>no. called 41.7% of the time when present. Lenoxika and Pucara call this start.</v>
      </c>
      <c r="C12" s="6" t="str">
        <f ca="1">IFERROR(__xludf.DUMMYFUNCTION("""COMPUTED_VALUE"""),"Start #49 (glimmer): conserved i some members, called 41.7% when present; Start #45 (Gene): Found in most members (more than the glimmer call), called 71% when present")</f>
        <v>Start #49 (glimmer): conserved i some members, called 41.7% when present; Start #45 (Gene): Found in most members (more than the glimmer call), called 71% when present</v>
      </c>
      <c r="D12" s="6"/>
    </row>
    <row r="13" spans="1:4" ht="15.75" customHeight="1" x14ac:dyDescent="0.15">
      <c r="A13" s="5" t="s">
        <v>12</v>
      </c>
      <c r="B13" s="6" t="str">
        <f ca="1">IFERROR(__xludf.DUMMYFUNCTION("""COMPUTED_VALUE"""),"yes, change to 17798. the z score is better, the closes the gap, and the coding potential for the called start could be better.")</f>
        <v>yes, change to 17798. the z score is better, the closes the gap, and the coding potential for the called start could be better.</v>
      </c>
      <c r="C13" s="6" t="str">
        <f ca="1">IFERROR(__xludf.DUMMYFUNCTION("""COMPUTED_VALUE"""),"yes start change because we prefer gimmer over genemark, and the genemark has a simila z-score and caputres more potential")</f>
        <v>yes start change because we prefer gimmer over genemark, and the genemark has a simila z-score and caputres more potential</v>
      </c>
      <c r="D13" s="6"/>
    </row>
    <row r="14" spans="1:4" ht="15.75" customHeight="1" x14ac:dyDescent="0.15">
      <c r="A14" s="5" t="s">
        <v>13</v>
      </c>
      <c r="B14" s="6" t="str">
        <f ca="1">IFERROR(__xludf.DUMMYFUNCTION("""COMPUTED_VALUE"""),"Lenoxika_23 6e-73, Pucara_23 3e-72")</f>
        <v>Lenoxika_23 6e-73, Pucara_23 3e-72</v>
      </c>
      <c r="C14" s="6" t="str">
        <f ca="1">IFERROR(__xludf.DUMMYFUNCTION("""COMPUTED_VALUE"""),"Nandita_23: 5e-73; Lenoxika_Draft_23: 6e-73")</f>
        <v>Nandita_23: 5e-73; Lenoxika_Draft_23: 6e-73</v>
      </c>
      <c r="D14" s="6"/>
    </row>
    <row r="15" spans="1:4" ht="15.75" customHeight="1" x14ac:dyDescent="0.15">
      <c r="A15" s="5" t="s">
        <v>14</v>
      </c>
      <c r="B15" s="6" t="str">
        <f ca="1">IFERROR(__xludf.DUMMYFUNCTION("""COMPUTED_VALUE"""),"Function Unknown - both")</f>
        <v>Function Unknown - both</v>
      </c>
      <c r="C15" s="6" t="str">
        <f ca="1">IFERROR(__xludf.DUMMYFUNCTION("""COMPUTED_VALUE"""),"Nandita: function unknown")</f>
        <v>Nandita: function unknown</v>
      </c>
      <c r="D15" s="6"/>
    </row>
    <row r="16" spans="1:4" ht="15.75" customHeight="1" x14ac:dyDescent="0.15">
      <c r="A16" s="5" t="s">
        <v>15</v>
      </c>
      <c r="B16" s="6" t="str">
        <f ca="1">IFERROR(__xludf.DUMMYFUNCTION("""COMPUTED_VALUE"""),"good synteny, all genes to be expected.")</f>
        <v>good synteny, all genes to be expected.</v>
      </c>
      <c r="C16" s="6" t="str">
        <f ca="1">IFERROR(__xludf.DUMMYFUNCTION("""COMPUTED_VALUE"""),"found in same genetic environment as Nandita_23")</f>
        <v>found in same genetic environment as Nandita_23</v>
      </c>
      <c r="D16" s="6"/>
    </row>
    <row r="17" spans="1:4" ht="15.75" customHeight="1" x14ac:dyDescent="0.15">
      <c r="A17" s="5" t="s">
        <v>16</v>
      </c>
      <c r="B17" s="6" t="str">
        <f ca="1">IFERROR(__xludf.DUMMYFUNCTION("""COMPUTED_VALUE"""),"all bad hits, in the 70%'s or lower. they also say domain of unknown function")</f>
        <v>all bad hits, in the 70%'s or lower. they also say domain of unknown function</v>
      </c>
      <c r="C17" s="6" t="str">
        <f ca="1">IFERROR(__xludf.DUMMYFUNCTION("""COMPUTED_VALUE"""),"no good hits, family of unknown function, seems to be related to immune system protiens; Prob: 76.98%; %Q: 81.3%; %T: 93.2%; function not a part of the alignment")</f>
        <v>no good hits, family of unknown function, seems to be related to immune system protiens; Prob: 76.98%; %Q: 81.3%; %T: 93.2%; function not a part of the alignment</v>
      </c>
      <c r="D17" s="6"/>
    </row>
    <row r="18" spans="1:4" ht="15.75" customHeight="1" x14ac:dyDescent="0.15">
      <c r="A18" s="5" t="s">
        <v>17</v>
      </c>
      <c r="B18" s="6" t="str">
        <f ca="1">IFERROR(__xludf.DUMMYFUNCTION("""COMPUTED_VALUE"""),"none")</f>
        <v>none</v>
      </c>
      <c r="C18" s="6" t="str">
        <f ca="1">IFERROR(__xludf.DUMMYFUNCTION("""COMPUTED_VALUE"""),"no conserved domains")</f>
        <v>no conserved domains</v>
      </c>
      <c r="D18" s="6"/>
    </row>
    <row r="19" spans="1:4" ht="15.75" customHeight="1" x14ac:dyDescent="0.15">
      <c r="A19" s="5" t="s">
        <v>18</v>
      </c>
      <c r="B19" s="6" t="str">
        <f ca="1">IFERROR(__xludf.DUMMYFUNCTION("""COMPUTED_VALUE"""),"4 domain matches")</f>
        <v>4 domain matches</v>
      </c>
      <c r="C19" s="6" t="str">
        <f ca="1">IFERROR(__xludf.DUMMYFUNCTION("""COMPUTED_VALUE"""),"Is a membrane protein")</f>
        <v>Is a membrane protein</v>
      </c>
      <c r="D19" s="6"/>
    </row>
    <row r="20" spans="1:4" ht="15.75" customHeight="1" x14ac:dyDescent="0.15">
      <c r="A20" s="5" t="s">
        <v>19</v>
      </c>
      <c r="B20" s="6" t="str">
        <f ca="1">IFERROR(__xludf.DUMMYFUNCTION("""COMPUTED_VALUE"""),"Unknown Function. All of the pham members are unknown and so was hhpred.")</f>
        <v>Unknown Function. All of the pham members are unknown and so was hhpred.</v>
      </c>
      <c r="C20" s="6" t="str">
        <f ca="1">IFERROR(__xludf.DUMMYFUNCTION("""COMPUTED_VALUE"""),"Hypothetical protein because the best hits in HHpred were families of unown function opr somehow related to immune systems, and within NCBI there wasnt any conserved domains, and Nandtita was also called to have an unknown function. ")</f>
        <v xml:space="preserve">Hypothetical protein because the best hits in HHpred were families of unown function opr somehow related to immune systems, and within NCBI there wasnt any conserved domains, and Nandtita was also called to have an unknown function. </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IFERROR(__xludf.DUMMYFUNCTION("IMPORTRANGE(""https://docs.google.com/spreadsheets/d/12D2a8_yN9-M20Swe1qSSTzsOdHwl9WpMkqw3nyC2tRc"", ""S24!B1:B22"")"),"Noelle Labadens")</f>
        <v>Noelle Labadens</v>
      </c>
      <c r="C1" s="11" t="str">
        <f ca="1">IFERROR(__xludf.DUMMYFUNCTION("IMPORTRANGE(""https://docs.google.com/spreadsheets/d/1WNEoccD374LriG_Vfas93mZuqp-YxPt_JlqNi2GnBVU"", ""S24!B1:B22"")"),"Tyler Thibodeaux ")</f>
        <v xml:space="preserve">Tyler Thibodeaux </v>
      </c>
      <c r="D1" s="2" t="s">
        <v>0</v>
      </c>
    </row>
    <row r="2" spans="1:4" ht="15.75" customHeight="1" x14ac:dyDescent="0.15">
      <c r="A2" s="3" t="s">
        <v>1</v>
      </c>
      <c r="B2" s="4" t="str">
        <f ca="1">IFERROR(__xludf.DUMMYFUNCTION("""COMPUTED_VALUE"""),"18217-18618 FOR")</f>
        <v>18217-18618 FOR</v>
      </c>
      <c r="C2" s="4" t="str">
        <f ca="1">IFERROR(__xludf.DUMMYFUNCTION("""COMPUTED_VALUE"""),"18629 to 19573 (Forward)")</f>
        <v>18629 to 19573 (Forward)</v>
      </c>
      <c r="D2" s="4"/>
    </row>
    <row r="3" spans="1:4" ht="15.75" customHeight="1" x14ac:dyDescent="0.15">
      <c r="A3" s="5" t="s">
        <v>2</v>
      </c>
      <c r="B3" s="6" t="str">
        <f ca="1">IFERROR(__xludf.DUMMYFUNCTION("""COMPUTED_VALUE"""),"DNA Master: 23; Phamerator: 24")</f>
        <v>DNA Master: 23; Phamerator: 24</v>
      </c>
      <c r="C3" s="6" t="str">
        <f ca="1">IFERROR(__xludf.DUMMYFUNCTION("""COMPUTED_VALUE"""),"24 in DNAm and 25 in PHAM ")</f>
        <v xml:space="preserve">24 in DNAm and 25 in PHAM </v>
      </c>
      <c r="D3" s="6"/>
    </row>
    <row r="4" spans="1:4" ht="15.75" customHeight="1" x14ac:dyDescent="0.15">
      <c r="A4" s="5" t="s">
        <v>3</v>
      </c>
      <c r="B4" s="6" t="str">
        <f ca="1">IFERROR(__xludf.DUMMYFUNCTION("""COMPUTED_VALUE"""),"pham 6980 3/31/25")</f>
        <v>pham 6980 3/31/25</v>
      </c>
      <c r="C4" s="6" t="str">
        <f ca="1">IFERROR(__xludf.DUMMYFUNCTION("""COMPUTED_VALUE"""),"pham 224457, 4-3-25")</f>
        <v>pham 224457, 4-3-25</v>
      </c>
      <c r="D4" s="6"/>
    </row>
    <row r="5" spans="1:4" ht="15.75" customHeight="1" x14ac:dyDescent="0.15">
      <c r="A5" s="5" t="s">
        <v>4</v>
      </c>
      <c r="B5" s="6" t="str">
        <f ca="1">IFERROR(__xludf.DUMMYFUNCTION("""COMPUTED_VALUE"""),"Aoka_24, Eileen_24")</f>
        <v>Aoka_24, Eileen_24</v>
      </c>
      <c r="C5" s="6" t="str">
        <f ca="1">IFERROR(__xludf.DUMMYFUNCTION("""COMPUTED_VALUE"""),"Nandita_25")</f>
        <v>Nandita_25</v>
      </c>
      <c r="D5" s="6"/>
    </row>
    <row r="6" spans="1:4" ht="15.75" customHeight="1" x14ac:dyDescent="0.15">
      <c r="A6" s="5" t="s">
        <v>5</v>
      </c>
      <c r="B6" s="6" t="str">
        <f ca="1">IFERROR(__xludf.DUMMYFUNCTION("""COMPUTED_VALUE"""),"both")</f>
        <v>both</v>
      </c>
      <c r="C6" s="6" t="str">
        <f ca="1">IFERROR(__xludf.DUMMYFUNCTION("""COMPUTED_VALUE"""),"Original Glimmer call @bp 1862. IN both")</f>
        <v>Original Glimmer call @bp 1862. IN both</v>
      </c>
      <c r="D6" s="6"/>
    </row>
    <row r="7" spans="1:4" ht="15.75" customHeight="1" x14ac:dyDescent="0.15">
      <c r="A7" s="5" t="s">
        <v>6</v>
      </c>
      <c r="B7" s="6" t="str">
        <f ca="1">IFERROR(__xludf.DUMMYFUNCTION("""COMPUTED_VALUE"""),"decent coding potential, some of the gene is missed.")</f>
        <v>decent coding potential, some of the gene is missed.</v>
      </c>
      <c r="C7" s="6" t="str">
        <f ca="1">IFERROR(__xludf.DUMMYFUNCTION("""COMPUTED_VALUE"""),"Its not great coding potential, but it is there ")</f>
        <v xml:space="preserve">Its not great coding potential, but it is there </v>
      </c>
      <c r="D7" s="6"/>
    </row>
    <row r="8" spans="1:4" ht="15.75" customHeight="1" x14ac:dyDescent="0.15">
      <c r="A8" s="5" t="s">
        <v>7</v>
      </c>
      <c r="B8" s="6" t="str">
        <f ca="1">IFERROR(__xludf.DUMMYFUNCTION("""COMPUTED_VALUE"""),"no. there are 3 starts before it: 17869, 17974, and 18070")</f>
        <v>no. there are 3 starts before it: 17869, 17974, and 18070</v>
      </c>
      <c r="C8" s="6" t="str">
        <f ca="1">IFERROR(__xludf.DUMMYFUNCTION("""COMPUTED_VALUE"""),"It is the longest possible ")</f>
        <v xml:space="preserve">It is the longest possible </v>
      </c>
      <c r="D8" s="6"/>
    </row>
    <row r="9" spans="1:4" ht="15.75" customHeight="1" x14ac:dyDescent="0.15">
      <c r="A9" s="5" t="s">
        <v>8</v>
      </c>
      <c r="B9" s="6" t="str">
        <f ca="1">IFERROR(__xludf.DUMMYFUNCTION("""COMPUTED_VALUE"""),"3 nt overlap")</f>
        <v>3 nt overlap</v>
      </c>
      <c r="C9" s="6" t="str">
        <f ca="1">IFERROR(__xludf.DUMMYFUNCTION("""COMPUTED_VALUE"""),"Large gap: 322")</f>
        <v>Large gap: 322</v>
      </c>
      <c r="D9" s="6"/>
    </row>
    <row r="10" spans="1:4" ht="15.75" customHeight="1" x14ac:dyDescent="0.15">
      <c r="A10" s="5" t="s">
        <v>9</v>
      </c>
      <c r="B10" s="6" t="str">
        <f ca="1">IFERROR(__xludf.DUMMYFUNCTION("""COMPUTED_VALUE"""),"z-score: 2.636. all other scores are bad.")</f>
        <v>z-score: 2.636. all other scores are bad.</v>
      </c>
      <c r="C10" s="6" t="str">
        <f ca="1">IFERROR(__xludf.DUMMYFUNCTION("""COMPUTED_VALUE"""),"Zscore: 2.133, It is the best ")</f>
        <v xml:space="preserve">Zscore: 2.133, It is the best </v>
      </c>
      <c r="D10" s="6"/>
    </row>
    <row r="11" spans="1:4" ht="15.75" customHeight="1" x14ac:dyDescent="0.15">
      <c r="A11" s="5" t="s">
        <v>10</v>
      </c>
      <c r="B11" s="6" t="str">
        <f ca="1">IFERROR(__xludf.DUMMYFUNCTION("""COMPUTED_VALUE"""),"Nandita_24, 100%, 3e-72 q:1 s:1; Lenoxika_24, 100%, 3e-72, q:1 s:1. a lot of good matches")</f>
        <v>Nandita_24, 100%, 3e-72 q:1 s:1; Lenoxika_24, 100%, 3e-72, q:1 s:1. a lot of good matches</v>
      </c>
      <c r="C11" s="6" t="str">
        <f ca="1">IFERROR(__xludf.DUMMYFUNCTION("""COMPUTED_VALUE"""),"lysin A [Arthrobacter phage Nandita]. 100% Idenitity, e=0.0, q1:s1")</f>
        <v>lysin A [Arthrobacter phage Nandita]. 100% Idenitity, e=0.0, q1:s1</v>
      </c>
      <c r="D11" s="6"/>
    </row>
    <row r="12" spans="1:4" ht="15.75" customHeight="1" x14ac:dyDescent="0.15">
      <c r="A12" s="5" t="s">
        <v>11</v>
      </c>
      <c r="B12" s="6" t="str">
        <f ca="1">IFERROR(__xludf.DUMMYFUNCTION("""COMPUTED_VALUE"""),"no. called 100% of the time when present. most annotated start. also called by nandita and lenoxika.")</f>
        <v>no. called 100% of the time when present. most annotated start. also called by nandita and lenoxika.</v>
      </c>
      <c r="C12" s="6" t="str">
        <f ca="1">IFERROR(__xludf.DUMMYFUNCTION("""COMPUTED_VALUE"""),"It is conserved in 1/3 of the pham and called 100% of the time ")</f>
        <v xml:space="preserve">It is conserved in 1/3 of the pham and called 100% of the time </v>
      </c>
      <c r="D12" s="6"/>
    </row>
    <row r="13" spans="1:4" ht="15.75" customHeight="1" x14ac:dyDescent="0.15">
      <c r="A13" s="5" t="s">
        <v>12</v>
      </c>
      <c r="B13" s="6" t="str">
        <f ca="1">IFERROR(__xludf.DUMMYFUNCTION("""COMPUTED_VALUE"""),"no. this z score is the only good one, this start is called 100% of the time when present and is called for the blast matches.")</f>
        <v>no. this z score is the only good one, this start is called 100% of the time when present and is called for the blast matches.</v>
      </c>
      <c r="C13" s="6" t="str">
        <f ca="1">IFERROR(__xludf.DUMMYFUNCTION("""COMPUTED_VALUE"""),"none")</f>
        <v>none</v>
      </c>
      <c r="D13" s="6"/>
    </row>
    <row r="14" spans="1:4" ht="15.75" customHeight="1" x14ac:dyDescent="0.15">
      <c r="A14" s="5" t="s">
        <v>13</v>
      </c>
      <c r="B14" s="6" t="str">
        <f ca="1">IFERROR(__xludf.DUMMYFUNCTION("""COMPUTED_VALUE"""),"Nandita_24 3e-72, Lenoxika_24 3e-72")</f>
        <v>Nandita_24 3e-72, Lenoxika_24 3e-72</v>
      </c>
      <c r="C14" s="6" t="str">
        <f ca="1">IFERROR(__xludf.DUMMYFUNCTION("""COMPUTED_VALUE"""),"Nandita_25, lysin A, e=0.0")</f>
        <v>Nandita_25, lysin A, e=0.0</v>
      </c>
      <c r="D14" s="6"/>
    </row>
    <row r="15" spans="1:4" ht="15.75" customHeight="1" x14ac:dyDescent="0.15">
      <c r="A15" s="5" t="s">
        <v>14</v>
      </c>
      <c r="B15" s="6" t="str">
        <f ca="1">IFERROR(__xludf.DUMMYFUNCTION("""COMPUTED_VALUE"""),"Function Unknown - both")</f>
        <v>Function Unknown - both</v>
      </c>
      <c r="C15" s="6" t="str">
        <f ca="1">IFERROR(__xludf.DUMMYFUNCTION("""COMPUTED_VALUE""")," lysin A")</f>
        <v xml:space="preserve"> lysin A</v>
      </c>
      <c r="D15" s="6"/>
    </row>
    <row r="16" spans="1:4" ht="15.75" customHeight="1" x14ac:dyDescent="0.15">
      <c r="A16" s="5" t="s">
        <v>15</v>
      </c>
      <c r="B16" s="6" t="str">
        <f ca="1">IFERROR(__xludf.DUMMYFUNCTION("""COMPUTED_VALUE"""),"good synteny, all genes to be expected.")</f>
        <v>good synteny, all genes to be expected.</v>
      </c>
      <c r="C16" s="6" t="str">
        <f ca="1">IFERROR(__xludf.DUMMYFUNCTION("""COMPUTED_VALUE"""),"It is the same genetic enviormnet as Nandita ")</f>
        <v xml:space="preserve">It is the same genetic enviormnet as Nandita </v>
      </c>
      <c r="D16" s="6"/>
    </row>
    <row r="17" spans="1:4" ht="15.75" customHeight="1" x14ac:dyDescent="0.15">
      <c r="A17" s="5" t="s">
        <v>16</v>
      </c>
      <c r="B17" s="6" t="str">
        <f ca="1">IFERROR(__xludf.DUMMYFUNCTION("""COMPUTED_VALUE"""),"; DUF2730 ; Protein of unknown function (DUF2730); 98%, q:72.57%; t:86.32%. not shown. ")</f>
        <v xml:space="preserve">; DUF2730 ; Protein of unknown function (DUF2730); 98%, q:72.57%; t:86.32%. not shown. </v>
      </c>
      <c r="C17" s="6" t="str">
        <f ca="1">IFERROR(__xludf.DUMMYFUNCTION("""COMPUTED_VALUE"""),"Peptidase M23; membrane protein, %prob=99.05%, %q= 10%, %T=74%, functional domain is in the target allignment ")</f>
        <v xml:space="preserve">Peptidase M23; membrane protein, %prob=99.05%, %q= 10%, %T=74%, functional domain is in the target allignment </v>
      </c>
      <c r="D17" s="6"/>
    </row>
    <row r="18" spans="1:4" ht="15.75" customHeight="1" x14ac:dyDescent="0.15">
      <c r="A18" s="5" t="s">
        <v>17</v>
      </c>
      <c r="B18" s="6" t="str">
        <f ca="1">IFERROR(__xludf.DUMMYFUNCTION("""COMPUTED_VALUE"""),"none")</f>
        <v>none</v>
      </c>
      <c r="C18" s="6" t="str">
        <f ca="1">IFERROR(__xludf.DUMMYFUNCTION("""COMPUTED_VALUE"""),"M23_peptidase")</f>
        <v>M23_peptidase</v>
      </c>
      <c r="D18" s="6"/>
    </row>
    <row r="19" spans="1:4" ht="15.75" customHeight="1" x14ac:dyDescent="0.15">
      <c r="A19" s="5" t="s">
        <v>18</v>
      </c>
      <c r="B19" s="6" t="str">
        <f ca="1">IFERROR(__xludf.DUMMYFUNCTION("""COMPUTED_VALUE"""),"domain match")</f>
        <v>domain match</v>
      </c>
      <c r="C19" s="6" t="str">
        <f ca="1">IFERROR(__xludf.DUMMYFUNCTION("""COMPUTED_VALUE"""),"None")</f>
        <v>None</v>
      </c>
      <c r="D19" s="6"/>
    </row>
    <row r="20" spans="1:4" ht="15.75" customHeight="1" x14ac:dyDescent="0.15">
      <c r="A20" s="5" t="s">
        <v>19</v>
      </c>
      <c r="B20" s="6" t="str">
        <f ca="1">IFERROR(__xludf.DUMMYFUNCTION("""COMPUTED_VALUE"""),"Unknown Function. all of the pham member's functions are unknown and the biggest hit on hhpred is also unknown. Even if i was to dig deeper in hhpred, i'd only be making a porr guess of what the function is because of the pham.")</f>
        <v>Unknown Function. all of the pham member's functions are unknown and the biggest hit on hhpred is also unknown. Even if i was to dig deeper in hhpred, i'd only be making a porr guess of what the function is because of the pham.</v>
      </c>
      <c r="C20" s="6" t="str">
        <f ca="1">IFERROR(__xludf.DUMMYFUNCTION("""COMPUTED_VALUE"""),"lysin A, protease M23 domain.This is due to the NCBI blast, HHpred, and Phages db blast, as well as the synteny. ")</f>
        <v xml:space="preserve">lysin A, protease M23 domain.This is due to the NCBI blast, HHpred, and Phages db blast, as well as the synteny. </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IFERROR(__xludf.DUMMYFUNCTION("IMPORTRANGE(""https://docs.google.com/spreadsheets/d/1rjebY3ldoEXrRbLWoPXCIhvF_kMyOvJr_yst6T3o1Qk"", ""S25!B1:B22"")"),"Zachary Edwards")</f>
        <v>Zachary Edwards</v>
      </c>
      <c r="C1" s="11" t="str">
        <f ca="1">IFERROR(__xludf.DUMMYFUNCTION("IMPORTRANGE(""https://docs.google.com/spreadsheets/d/118rN356SVQ9wRlO8Wn-8gpg7SdHsE4vm-XldkW2-iEo"", ""S25!B1:B22"")"),"McKinzie Novak")</f>
        <v>McKinzie Novak</v>
      </c>
      <c r="D1" s="2" t="s">
        <v>0</v>
      </c>
    </row>
    <row r="2" spans="1:4" ht="15.75" customHeight="1" x14ac:dyDescent="0.15">
      <c r="A2" s="3" t="s">
        <v>1</v>
      </c>
      <c r="B2" s="4" t="str">
        <f ca="1">IFERROR(__xludf.DUMMYFUNCTION("""COMPUTED_VALUE"""),"DNAM Start:18629 - Stop:19573
PHAM Start:18629 - Stop:19573
FOR")</f>
        <v>DNAM Start:18629 - Stop:19573
PHAM Start:18629 - Stop:19573
FOR</v>
      </c>
      <c r="C2" s="4" t="str">
        <f ca="1">IFERROR(__xludf.DUMMYFUNCTION("""COMPUTED_VALUE"""),"START: 18629
STOP: 19573
FORWARD")</f>
        <v>START: 18629
STOP: 19573
FORWARD</v>
      </c>
      <c r="D2" s="4"/>
    </row>
    <row r="3" spans="1:4" ht="15.75" customHeight="1" x14ac:dyDescent="0.15">
      <c r="A3" s="5" t="s">
        <v>2</v>
      </c>
      <c r="B3" s="6" t="str">
        <f ca="1">IFERROR(__xludf.DUMMYFUNCTION("""COMPUTED_VALUE"""),"DNAM:24
PHAM:25")</f>
        <v>DNAM:24
PHAM:25</v>
      </c>
      <c r="C3" s="6" t="str">
        <f ca="1">IFERROR(__xludf.DUMMYFUNCTION("""COMPUTED_VALUE"""),"DNAM: 24
PHAM: 25
Phagesdb: 25")</f>
        <v>DNAM: 24
PHAM: 25
Phagesdb: 25</v>
      </c>
      <c r="D3" s="6"/>
    </row>
    <row r="4" spans="1:4" ht="15.75" customHeight="1" x14ac:dyDescent="0.15">
      <c r="A4" s="5" t="s">
        <v>3</v>
      </c>
      <c r="B4" s="6" t="str">
        <f ca="1">IFERROR(__xludf.DUMMYFUNCTION("""COMPUTED_VALUE"""),"224547 3/31/25")</f>
        <v>224547 3/31/25</v>
      </c>
      <c r="C4" s="6" t="str">
        <f ca="1">IFERROR(__xludf.DUMMYFUNCTION("""COMPUTED_VALUE"""),"#224547  4/2/25")</f>
        <v>#224547  4/2/25</v>
      </c>
      <c r="D4" s="6"/>
    </row>
    <row r="5" spans="1:4" ht="15.75" customHeight="1" x14ac:dyDescent="0.15">
      <c r="A5" s="5" t="s">
        <v>4</v>
      </c>
      <c r="B5" s="6" t="str">
        <f ca="1">IFERROR(__xludf.DUMMYFUNCTION("""COMPUTED_VALUE"""),"Nandita_25")</f>
        <v>Nandita_25</v>
      </c>
      <c r="C5" s="6" t="str">
        <f ca="1">IFERROR(__xludf.DUMMYFUNCTION("""COMPUTED_VALUE"""),"Nandita #25 Ryan #25")</f>
        <v>Nandita #25 Ryan #25</v>
      </c>
      <c r="D5" s="6"/>
    </row>
    <row r="6" spans="1:4" ht="15.75" customHeight="1" x14ac:dyDescent="0.15">
      <c r="A6" s="5" t="s">
        <v>5</v>
      </c>
      <c r="B6" s="6" t="str">
        <f ca="1">IFERROR(__xludf.DUMMYFUNCTION("""COMPUTED_VALUE"""),"Both agree on start")</f>
        <v>Both agree on start</v>
      </c>
      <c r="C6" s="6" t="str">
        <f ca="1">IFERROR(__xludf.DUMMYFUNCTION("""COMPUTED_VALUE"""),"Both glimmer and genemark call the start 18629")</f>
        <v>Both glimmer and genemark call the start 18629</v>
      </c>
      <c r="D6" s="6"/>
    </row>
    <row r="7" spans="1:4" ht="15.75" customHeight="1" x14ac:dyDescent="0.15">
      <c r="A7" s="5" t="s">
        <v>6</v>
      </c>
      <c r="B7" s="6"/>
      <c r="C7" s="6" t="str">
        <f ca="1">IFERROR(__xludf.DUMMYFUNCTION("""COMPUTED_VALUE"""),"Not really, it's decent I suppose, it takes some serious dips throughout the sequence, but the start does capture the coding potential it does have. ")</f>
        <v xml:space="preserve">Not really, it's decent I suppose, it takes some serious dips throughout the sequence, but the start does capture the coding potential it does have. </v>
      </c>
      <c r="D7" s="6"/>
    </row>
    <row r="8" spans="1:4" ht="15.75" customHeight="1" x14ac:dyDescent="0.15">
      <c r="A8" s="5" t="s">
        <v>7</v>
      </c>
      <c r="B8" s="6" t="str">
        <f ca="1">IFERROR(__xludf.DUMMYFUNCTION("""COMPUTED_VALUE"""),"Yes")</f>
        <v>Yes</v>
      </c>
      <c r="C8" s="6" t="str">
        <f ca="1">IFERROR(__xludf.DUMMYFUNCTION("""COMPUTED_VALUE"""),"Yes, this start is the longest open reading frame.")</f>
        <v>Yes, this start is the longest open reading frame.</v>
      </c>
      <c r="D8" s="6"/>
    </row>
    <row r="9" spans="1:4" ht="15.75" customHeight="1" x14ac:dyDescent="0.15">
      <c r="A9" s="5" t="s">
        <v>8</v>
      </c>
      <c r="B9" s="6" t="str">
        <f ca="1">IFERROR(__xludf.DUMMYFUNCTION("""COMPUTED_VALUE"""),"11 NT Gap")</f>
        <v>11 NT Gap</v>
      </c>
      <c r="C9" s="6" t="str">
        <f ca="1">IFERROR(__xludf.DUMMYFUNCTION("""COMPUTED_VALUE"""),"There is an 11 basepair gap from the previous gene")</f>
        <v>There is an 11 basepair gap from the previous gene</v>
      </c>
      <c r="D9" s="6"/>
    </row>
    <row r="10" spans="1:4" ht="15.75" customHeight="1" x14ac:dyDescent="0.15">
      <c r="A10" s="5" t="s">
        <v>9</v>
      </c>
      <c r="B10" s="6" t="str">
        <f ca="1">IFERROR(__xludf.DUMMYFUNCTION("""COMPUTED_VALUE"""),"Current 2.133 (18629) best")</f>
        <v>Current 2.133 (18629) best</v>
      </c>
      <c r="C10" s="6" t="str">
        <f ca="1">IFERROR(__xludf.DUMMYFUNCTION("""COMPUTED_VALUE"""),"Start:18629 Z-score:2.13 rbs:-4.4")</f>
        <v>Start:18629 Z-score:2.13 rbs:-4.4</v>
      </c>
      <c r="D10" s="6"/>
    </row>
    <row r="11" spans="1:4" ht="15.75" customHeight="1" x14ac:dyDescent="0.15">
      <c r="A11" s="5" t="s">
        <v>10</v>
      </c>
      <c r="B11" s="6" t="str">
        <f ca="1">IFERROR(__xludf.DUMMYFUNCTION("""COMPUTED_VALUE"""),"Nandita_25
%ID: 100%
E:0
1:1")</f>
        <v>Nandita_25
%ID: 100%
E:0
1:1</v>
      </c>
      <c r="C11" s="6" t="str">
        <f ca="1">IFERROR(__xludf.DUMMYFUNCTION("""COMPUTED_VALUE"""),"Nandita #25 %ID:100 e-val:0.0e0 Q:1 S:1 
Ryan #25 %ID:91.1 e-val:0.0e0 Q:1 S:1 ")</f>
        <v xml:space="preserve">Nandita #25 %ID:100 e-val:0.0e0 Q:1 S:1 
Ryan #25 %ID:91.1 e-val:0.0e0 Q:1 S:1 </v>
      </c>
      <c r="D11" s="6"/>
    </row>
    <row r="12" spans="1:4" ht="15.75" customHeight="1" x14ac:dyDescent="0.15">
      <c r="A12" s="5" t="s">
        <v>11</v>
      </c>
      <c r="B12" s="6" t="str">
        <f ca="1">IFERROR(__xludf.DUMMYFUNCTION("""COMPUTED_VALUE"""),"21 of 71 call current start (most of FF)")</f>
        <v>21 of 71 call current start (most of FF)</v>
      </c>
      <c r="C12" s="6" t="str">
        <f ca="1">IFERROR(__xludf.DUMMYFUNCTION("""COMPUTED_VALUE"""),"No, there are many other starts, but the one schism calls (#26) is the most annotated and it is supported by almost the entire cluster calling this start.")</f>
        <v>No, there are many other starts, but the one schism calls (#26) is the most annotated and it is supported by almost the entire cluster calling this start.</v>
      </c>
      <c r="D12" s="6"/>
    </row>
    <row r="13" spans="1:4" ht="15.75" customHeight="1" x14ac:dyDescent="0.15">
      <c r="A13" s="5" t="s">
        <v>12</v>
      </c>
      <c r="B13" s="6" t="str">
        <f ca="1">IFERROR(__xludf.DUMMYFUNCTION("""COMPUTED_VALUE"""),"No reason to")</f>
        <v>No reason to</v>
      </c>
      <c r="C13" s="6" t="str">
        <f ca="1">IFERROR(__xludf.DUMMYFUNCTION("""COMPUTED_VALUE"""),"No, the z-score is really good and considering all other cluster members call this start its good support to keep it, and its the longest in the readign frame so there's no need to create a gap")</f>
        <v>No, the z-score is really good and considering all other cluster members call this start its good support to keep it, and its the longest in the readign frame so there's no need to create a gap</v>
      </c>
      <c r="D13" s="6"/>
    </row>
    <row r="14" spans="1:4" ht="15.75" customHeight="1" x14ac:dyDescent="0.15">
      <c r="A14" s="5" t="s">
        <v>13</v>
      </c>
      <c r="B14" s="6" t="str">
        <f ca="1">IFERROR(__xludf.DUMMYFUNCTION("""COMPUTED_VALUE"""),"Nandita_25 or Gusanita_23 
E:0                   E:-177")</f>
        <v>Nandita_25 or Gusanita_23 
E:0                   E:-177</v>
      </c>
      <c r="C14" s="6" t="str">
        <f ca="1">IFERROR(__xludf.DUMMYFUNCTION("""COMPUTED_VALUE"""),"Nandita #25 e-val:0.0e0
Ryan #25 e-val:0.0e0")</f>
        <v>Nandita #25 e-val:0.0e0
Ryan #25 e-val:0.0e0</v>
      </c>
      <c r="D14" s="6"/>
    </row>
    <row r="15" spans="1:4" ht="15.75" customHeight="1" x14ac:dyDescent="0.15">
      <c r="A15" s="5" t="s">
        <v>14</v>
      </c>
      <c r="B15" s="6" t="str">
        <f ca="1">IFERROR(__xludf.DUMMYFUNCTION("""COMPUTED_VALUE"""),"Lysin A or Endolysin")</f>
        <v>Lysin A or Endolysin</v>
      </c>
      <c r="C15" s="6" t="str">
        <f ca="1">IFERROR(__xludf.DUMMYFUNCTION("""COMPUTED_VALUE"""),"Nandita #25 (lysin A)
Ryan #25 (lysin A)")</f>
        <v>Nandita #25 (lysin A)
Ryan #25 (lysin A)</v>
      </c>
      <c r="D15" s="6"/>
    </row>
    <row r="16" spans="1:4" ht="15.75" customHeight="1" x14ac:dyDescent="0.15">
      <c r="A16" s="5" t="s">
        <v>15</v>
      </c>
      <c r="B16" s="6" t="str">
        <f ca="1">IFERROR(__xludf.DUMMYFUNCTION("""COMPUTED_VALUE"""),"Same Genetic Environment as Nandita")</f>
        <v>Same Genetic Environment as Nandita</v>
      </c>
      <c r="C16" s="6" t="str">
        <f ca="1">IFERROR(__xludf.DUMMYFUNCTION("""COMPUTED_VALUE"""),"Yes, the gene fits well in its genetic environment with good alignment and adjacent hypothetical proteins on both sides.")</f>
        <v>Yes, the gene fits well in its genetic environment with good alignment and adjacent hypothetical proteins on both sides.</v>
      </c>
      <c r="D16" s="6"/>
    </row>
    <row r="17" spans="1:4" ht="15.75" customHeight="1" x14ac:dyDescent="0.15">
      <c r="A17" s="5" t="s">
        <v>16</v>
      </c>
      <c r="B17" s="6" t="str">
        <f ca="1">IFERROR(__xludf.DUMMYFUNCTION("""COMPUTED_VALUE"""),"4LXC_A Lysostaphin; PEPTIDASE FAMILY M23, PEPTIDOGLYCAN HYDROLASE, METALLOPEPTIDASE, PEPTIDOGLYCAN, HYDROLASE; HET: SO4; 3.5A {Staphylococcus simulans}
Probability: 98.25%
Align Q: 45.86%
Align T: 56.47%")</f>
        <v>4LXC_A Lysostaphin; PEPTIDASE FAMILY M23, PEPTIDOGLYCAN HYDROLASE, METALLOPEPTIDASE, PEPTIDOGLYCAN, HYDROLASE; HET: SO4; 3.5A {Staphylococcus simulans}
Probability: 98.25%
Align Q: 45.86%
Align T: 56.47%</v>
      </c>
      <c r="C17" s="6" t="str">
        <f ca="1">IFERROR(__xludf.DUMMYFUNCTION("""COMPUTED_VALUE"""),"DESC: Peptidase M23; membrane protein, enzyme, TRANSPORT PROTEIN; HET: ADP;{Vibrio cholerae}
%prob: 99.04
%ALT: 25.92 %ALQ: 31.5
No, the ABC transporter domain is not included in the target part of the alignment. may need further research")</f>
        <v>DESC: Peptidase M23; membrane protein, enzyme, TRANSPORT PROTEIN; HET: ADP;{Vibrio cholerae}
%prob: 99.04
%ALT: 25.92 %ALQ: 31.5
No, the ABC transporter domain is not included in the target part of the alignment. may need further research</v>
      </c>
      <c r="D17" s="6"/>
    </row>
    <row r="18" spans="1:4" ht="15.75" customHeight="1" x14ac:dyDescent="0.15">
      <c r="A18" s="5" t="s">
        <v>17</v>
      </c>
      <c r="B18" s="6" t="str">
        <f ca="1">IFERROR(__xludf.DUMMYFUNCTION("""COMPUTED_VALUE"""),"M23_peptidase
NlpD
PRK11649
Peptidase_M23")</f>
        <v>M23_peptidase
NlpD
PRK11649
Peptidase_M23</v>
      </c>
      <c r="C18" s="6" t="str">
        <f ca="1">IFERROR(__xludf.DUMMYFUNCTION("""COMPUTED_VALUE"""),"Phamerator finds these four domains; M23_peptidase, NlpD, PRK11649, Peptidase_M23 within this gene")</f>
        <v>Phamerator finds these four domains; M23_peptidase, NlpD, PRK11649, Peptidase_M23 within this gene</v>
      </c>
      <c r="D18" s="6"/>
    </row>
    <row r="19" spans="1:4" ht="15.75" customHeight="1" x14ac:dyDescent="0.15">
      <c r="A19" s="5" t="s">
        <v>18</v>
      </c>
      <c r="B19" s="6" t="str">
        <f ca="1">IFERROR(__xludf.DUMMYFUNCTION("""COMPUTED_VALUE"""),"N/A")</f>
        <v>N/A</v>
      </c>
      <c r="C19" s="6" t="str">
        <f ca="1">IFERROR(__xludf.DUMMYFUNCTION("""COMPUTED_VALUE"""),"None - outside")</f>
        <v>None - outside</v>
      </c>
      <c r="D19" s="6"/>
    </row>
    <row r="20" spans="1:4" ht="15.75" customHeight="1" x14ac:dyDescent="0.15">
      <c r="A20" s="5" t="s">
        <v>19</v>
      </c>
      <c r="B20" s="6" t="str">
        <f ca="1">IFERROR(__xludf.DUMMYFUNCTION("""COMPUTED_VALUE"""),"Lysin A, 100 %ID so it is the same amino acid seqence ")</f>
        <v xml:space="preserve">Lysin A, 100 %ID so it is the same amino acid seqence </v>
      </c>
      <c r="C20" s="6" t="str">
        <f ca="1">IFERROR(__xludf.DUMMYFUNCTION("""COMPUTED_VALUE"""),"lysin A (the M23 protease domain is included as per the functions list, not sure abt lysin B needing to be a requirement)")</f>
        <v>lysin A (the M23 protease domain is included as per the functions list, not sure abt lysin B needing to be a requirement)</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IFERROR(__xludf.DUMMYFUNCTION("IMPORTRANGE(""https://docs.google.com/spreadsheets/d/1JcP72URjln8m_02QQGZH43HhxTMRpkReW-wbnKU8b-0"", ""S26!B1:B22"")"),"Josiah Bolton")</f>
        <v>Josiah Bolton</v>
      </c>
      <c r="C1" s="11" t="str">
        <f ca="1">IFERROR(__xludf.DUMMYFUNCTION("IMPORTRANGE(""https://docs.google.com/spreadsheets/d/1WNEoccD374LriG_Vfas93mZuqp-YxPt_JlqNi2GnBVU"", ""S26!B1:B22"")"),"Tyler Thibodeaux ")</f>
        <v xml:space="preserve">Tyler Thibodeaux </v>
      </c>
      <c r="D1" s="2" t="s">
        <v>0</v>
      </c>
    </row>
    <row r="2" spans="1:4" ht="15.75" customHeight="1" x14ac:dyDescent="0.15">
      <c r="A2" s="3" t="s">
        <v>1</v>
      </c>
      <c r="B2" s="4" t="str">
        <f ca="1">IFERROR(__xludf.DUMMYFUNCTION("""COMPUTED_VALUE"""),"19577 - 19981 FOR")</f>
        <v>19577 - 19981 FOR</v>
      </c>
      <c r="C2" s="4" t="str">
        <f ca="1">IFERROR(__xludf.DUMMYFUNCTION("""COMPUTED_VALUE"""),"19991 to 21094 (Forward)")</f>
        <v>19991 to 21094 (Forward)</v>
      </c>
      <c r="D2" s="4"/>
    </row>
    <row r="3" spans="1:4" ht="15.75" customHeight="1" x14ac:dyDescent="0.15">
      <c r="A3" s="5" t="s">
        <v>2</v>
      </c>
      <c r="B3" s="6" t="str">
        <f ca="1">IFERROR(__xludf.DUMMYFUNCTION("""COMPUTED_VALUE"""),"25 in DNA Master
26 on Phamerator map")</f>
        <v>25 in DNA Master
26 on Phamerator map</v>
      </c>
      <c r="C3" s="6" t="str">
        <f ca="1">IFERROR(__xludf.DUMMYFUNCTION("""COMPUTED_VALUE"""),"26 in DNAm, 27 in Pham ")</f>
        <v xml:space="preserve">26 in DNAm, 27 in Pham </v>
      </c>
      <c r="D3" s="6"/>
    </row>
    <row r="4" spans="1:4" ht="15.75" customHeight="1" x14ac:dyDescent="0.15">
      <c r="A4" s="5" t="s">
        <v>3</v>
      </c>
      <c r="B4" s="6" t="str">
        <f ca="1">IFERROR(__xludf.DUMMYFUNCTION("""COMPUTED_VALUE"""),"219889 4/10/2025")</f>
        <v>219889 4/10/2025</v>
      </c>
      <c r="C4" s="6" t="str">
        <f ca="1">IFERROR(__xludf.DUMMYFUNCTION("""COMPUTED_VALUE"""),"pham 5857, 4-3-25")</f>
        <v>pham 5857, 4-3-25</v>
      </c>
      <c r="D4" s="6"/>
    </row>
    <row r="5" spans="1:4" ht="15.75" customHeight="1" x14ac:dyDescent="0.15">
      <c r="A5" s="5" t="s">
        <v>4</v>
      </c>
      <c r="B5" s="6" t="str">
        <f ca="1">IFERROR(__xludf.DUMMYFUNCTION("""COMPUTED_VALUE"""),"Nandita 26")</f>
        <v>Nandita 26</v>
      </c>
      <c r="C5" s="6" t="str">
        <f ca="1">IFERROR(__xludf.DUMMYFUNCTION("""COMPUTED_VALUE"""),"Nandita_27")</f>
        <v>Nandita_27</v>
      </c>
      <c r="D5" s="6"/>
    </row>
    <row r="6" spans="1:4" ht="15.75" customHeight="1" x14ac:dyDescent="0.15">
      <c r="A6" s="5" t="s">
        <v>5</v>
      </c>
      <c r="B6" s="6" t="str">
        <f ca="1">IFERROR(__xludf.DUMMYFUNCTION("""COMPUTED_VALUE"""),"Both support and call this gene.")</f>
        <v>Both support and call this gene.</v>
      </c>
      <c r="C6" s="6" t="str">
        <f ca="1">IFERROR(__xludf.DUMMYFUNCTION("""COMPUTED_VALUE"""),"Original Glimmer call @bp 19991, Both call for this ")</f>
        <v xml:space="preserve">Original Glimmer call @bp 19991, Both call for this </v>
      </c>
      <c r="D6" s="6"/>
    </row>
    <row r="7" spans="1:4" ht="15.75" customHeight="1" x14ac:dyDescent="0.15">
      <c r="A7" s="5" t="s">
        <v>6</v>
      </c>
      <c r="B7" s="6" t="str">
        <f ca="1">IFERROR(__xludf.DUMMYFUNCTION("""COMPUTED_VALUE"""),"There is coding potential and most is captured, but there is a little lost because genes are very close together.")</f>
        <v>There is coding potential and most is captured, but there is a little lost because genes are very close together.</v>
      </c>
      <c r="C7" s="6" t="str">
        <f ca="1">IFERROR(__xludf.DUMMYFUNCTION("""COMPUTED_VALUE"""),"Its not great coding potential, but there is coding potential there")</f>
        <v>Its not great coding potential, but there is coding potential there</v>
      </c>
      <c r="D7" s="6"/>
    </row>
    <row r="8" spans="1:4" ht="15.75" customHeight="1" x14ac:dyDescent="0.15">
      <c r="A8" s="5" t="s">
        <v>7</v>
      </c>
      <c r="B8" s="6" t="str">
        <f ca="1">IFERROR(__xludf.DUMMYFUNCTION("""COMPUTED_VALUE"""),"This is the longest ORF.")</f>
        <v>This is the longest ORF.</v>
      </c>
      <c r="C8" s="6" t="str">
        <f ca="1">IFERROR(__xludf.DUMMYFUNCTION("""COMPUTED_VALUE"""),"It is the longest possible ")</f>
        <v xml:space="preserve">It is the longest possible </v>
      </c>
      <c r="D8" s="6"/>
    </row>
    <row r="9" spans="1:4" ht="15.75" customHeight="1" x14ac:dyDescent="0.15">
      <c r="A9" s="5" t="s">
        <v>8</v>
      </c>
      <c r="B9" s="6" t="str">
        <f ca="1">IFERROR(__xludf.DUMMYFUNCTION("""COMPUTED_VALUE"""),"4 bp nucleotide gap.")</f>
        <v>4 bp nucleotide gap.</v>
      </c>
      <c r="C9" s="6" t="str">
        <f ca="1">IFERROR(__xludf.DUMMYFUNCTION("""COMPUTED_VALUE"""),"17 gap")</f>
        <v>17 gap</v>
      </c>
      <c r="D9" s="6"/>
    </row>
    <row r="10" spans="1:4" ht="15.75" customHeight="1" x14ac:dyDescent="0.15">
      <c r="A10" s="5" t="s">
        <v>9</v>
      </c>
      <c r="B10" s="6" t="str">
        <f ca="1">IFERROR(__xludf.DUMMYFUNCTION("""COMPUTED_VALUE"""),"Z-score is 2.421 with a final score of -4.341. This is the best score.")</f>
        <v>Z-score is 2.421 with a final score of -4.341. This is the best score.</v>
      </c>
      <c r="C10" s="6" t="str">
        <f ca="1">IFERROR(__xludf.DUMMYFUNCTION("""COMPUTED_VALUE"""),"Z score= 2.973, it is the best ")</f>
        <v xml:space="preserve">Z score= 2.973, it is the best </v>
      </c>
      <c r="D10" s="6"/>
    </row>
    <row r="11" spans="1:4" ht="15.75" customHeight="1" x14ac:dyDescent="0.15">
      <c r="A11" s="5" t="s">
        <v>10</v>
      </c>
      <c r="B11" s="6" t="str">
        <f ca="1">IFERROR(__xludf.DUMMYFUNCTION("""COMPUTED_VALUE"""),"Nandita 26 with a % identity of 99.25% and e value of 1.98e-87. q1:s1")</f>
        <v>Nandita 26 with a % identity of 99.25% and e value of 1.98e-87. q1:s1</v>
      </c>
      <c r="C11" s="6" t="str">
        <f ca="1">IFERROR(__xludf.DUMMYFUNCTION("""COMPUTED_VALUE"""),"minor tail protein [Arthrobacter phage Nandita], 100% identity, e=0.0, q1:s1")</f>
        <v>minor tail protein [Arthrobacter phage Nandita], 100% identity, e=0.0, q1:s1</v>
      </c>
      <c r="D11" s="6"/>
    </row>
    <row r="12" spans="1:4" ht="15.75" customHeight="1" x14ac:dyDescent="0.15">
      <c r="A12" s="5" t="s">
        <v>11</v>
      </c>
      <c r="B12" s="6" t="str">
        <f ca="1">IFERROR(__xludf.DUMMYFUNCTION("""COMPUTED_VALUE"""),"Start 5 found in majority of pham and is often called 100% of time when present.")</f>
        <v>Start 5 found in majority of pham and is often called 100% of time when present.</v>
      </c>
      <c r="C12" s="6" t="str">
        <f ca="1">IFERROR(__xludf.DUMMYFUNCTION("""COMPUTED_VALUE"""),"It is conserved in most members, and is called a 100% of the time ")</f>
        <v xml:space="preserve">It is conserved in most members, and is called a 100% of the time </v>
      </c>
      <c r="D12" s="6"/>
    </row>
    <row r="13" spans="1:4" ht="15.75" customHeight="1" x14ac:dyDescent="0.15">
      <c r="A13" s="5" t="s">
        <v>12</v>
      </c>
      <c r="B13" s="6" t="str">
        <f ca="1">IFERROR(__xludf.DUMMYFUNCTION("""COMPUTED_VALUE"""),"No start change because of the best z-score and final score.")</f>
        <v>No start change because of the best z-score and final score.</v>
      </c>
      <c r="C13" s="6" t="str">
        <f ca="1">IFERROR(__xludf.DUMMYFUNCTION("""COMPUTED_VALUE"""),"No")</f>
        <v>No</v>
      </c>
      <c r="D13" s="6"/>
    </row>
    <row r="14" spans="1:4" ht="15.75" customHeight="1" x14ac:dyDescent="0.15">
      <c r="A14" s="5" t="s">
        <v>13</v>
      </c>
      <c r="B14" s="6" t="str">
        <f ca="1">IFERROR(__xludf.DUMMYFUNCTION("""COMPUTED_VALUE"""),"Nandita 26 1e-70.")</f>
        <v>Nandita 26 1e-70.</v>
      </c>
      <c r="C14" s="6" t="str">
        <f ca="1">IFERROR(__xludf.DUMMYFUNCTION("""COMPUTED_VALUE"""),"Nandita_27, minor tail protein, e=0.0")</f>
        <v>Nandita_27, minor tail protein, e=0.0</v>
      </c>
      <c r="D14" s="6"/>
    </row>
    <row r="15" spans="1:4" ht="15.75" customHeight="1" x14ac:dyDescent="0.15">
      <c r="A15" s="5" t="s">
        <v>14</v>
      </c>
      <c r="B15" s="6" t="str">
        <f ca="1">IFERROR(__xludf.DUMMYFUNCTION("""COMPUTED_VALUE"""),"Nandita 26 is a membrane protein.")</f>
        <v>Nandita 26 is a membrane protein.</v>
      </c>
      <c r="C15" s="6" t="str">
        <f ca="1">IFERROR(__xludf.DUMMYFUNCTION("""COMPUTED_VALUE"""),"minor tail protein")</f>
        <v>minor tail protein</v>
      </c>
      <c r="D15" s="6"/>
    </row>
    <row r="16" spans="1:4" ht="15.75" customHeight="1" x14ac:dyDescent="0.15">
      <c r="A16" s="5" t="s">
        <v>15</v>
      </c>
      <c r="B16" s="6" t="str">
        <f ca="1">IFERROR(__xludf.DUMMYFUNCTION("""COMPUTED_VALUE"""),"Synteny would be expected to Schism 26.")</f>
        <v>Synteny would be expected to Schism 26.</v>
      </c>
      <c r="C16" s="6" t="str">
        <f ca="1">IFERROR(__xludf.DUMMYFUNCTION("""COMPUTED_VALUE"""),"It is in the same genetic enviornment as nandita ")</f>
        <v xml:space="preserve">It is in the same genetic enviornment as nandita </v>
      </c>
      <c r="D16" s="6"/>
    </row>
    <row r="17" spans="1:4" ht="15.75" customHeight="1" x14ac:dyDescent="0.15">
      <c r="A17" s="5" t="s">
        <v>16</v>
      </c>
      <c r="B17" s="6" t="str">
        <f ca="1">IFERROR(__xludf.DUMMYFUNCTION("""COMPUTED_VALUE"""),"Uncharacterized protein ActF; quinol:electron acceptor oxidoreductase, PHOTOSYNTHESIS; HET: SF4, EL6, HEC; 3.2A {Roseiflexus castenholzii (strain DSM 13941 / HLO8)} Probability is 56.29% (not helpful)")</f>
        <v>Uncharacterized protein ActF; quinol:electron acceptor oxidoreductase, PHOTOSYNTHESIS; HET: SF4, EL6, HEC; 3.2A {Roseiflexus castenholzii (strain DSM 13941 / HLO8)} Probability is 56.29% (not helpful)</v>
      </c>
      <c r="C17" s="6" t="str">
        <f ca="1">IFERROR(__xludf.DUMMYFUNCTION("""COMPUTED_VALUE"""),"Minor tail protein; Bacteriophage, %prob: 99.8%, %Q=.27%, %T= 5.6%, no functional domain seen in allignment ")</f>
        <v xml:space="preserve">Minor tail protein; Bacteriophage, %prob: 99.8%, %Q=.27%, %T= 5.6%, no functional domain seen in allignment </v>
      </c>
      <c r="D17" s="6"/>
    </row>
    <row r="18" spans="1:4" ht="15.75" customHeight="1" x14ac:dyDescent="0.15">
      <c r="A18" s="5" t="s">
        <v>17</v>
      </c>
      <c r="B18" s="6" t="str">
        <f ca="1">IFERROR(__xludf.DUMMYFUNCTION("""COMPUTED_VALUE"""),"Unknown.")</f>
        <v>Unknown.</v>
      </c>
      <c r="C18" s="6" t="str">
        <f ca="1">IFERROR(__xludf.DUMMYFUNCTION("""COMPUTED_VALUE"""),"None ")</f>
        <v xml:space="preserve">None </v>
      </c>
      <c r="D18" s="6"/>
    </row>
    <row r="19" spans="1:4" ht="15.75" customHeight="1" x14ac:dyDescent="0.15">
      <c r="A19" s="5" t="s">
        <v>18</v>
      </c>
      <c r="B19" s="6" t="str">
        <f ca="1">IFERROR(__xludf.DUMMYFUNCTION("""COMPUTED_VALUE"""),"Three membrane protein matches:
Query Start (Amino Acid Position): 18
Query End (Amino Acid Position): 36
Type: transmembrane
Query Start (Amino Acid Position): 47
Query End (Amino Acid Position): 64
Type: transmembrane
Query Start (Amino Acid Positio"&amp;"n): 67
Query End (Amino Acid Position): 85
Type: transmembrane")</f>
        <v>Three membrane protein matches:
Query Start (Amino Acid Position): 18
Query End (Amino Acid Position): 36
Type: transmembrane
Query Start (Amino Acid Position): 47
Query End (Amino Acid Position): 64
Type: transmembrane
Query Start (Amino Acid Position): 67
Query End (Amino Acid Position): 85
Type: transmembrane</v>
      </c>
      <c r="C19" s="6" t="str">
        <f ca="1">IFERROR(__xludf.DUMMYFUNCTION("""COMPUTED_VALUE"""),"None ")</f>
        <v xml:space="preserve">None </v>
      </c>
      <c r="D19" s="6"/>
    </row>
    <row r="20" spans="1:4" ht="15.75" customHeight="1" x14ac:dyDescent="0.15">
      <c r="A20" s="5" t="s">
        <v>19</v>
      </c>
      <c r="B20" s="6" t="str">
        <f ca="1">IFERROR(__xludf.DUMMYFUNCTION("""COMPUTED_VALUE"""),"Membrane protein because does not qualify to meet the criteria for a holin. Most likely second option is for a membrane protein through the use of PhagesDB, HHPred, Phamerator, and PECAAN.")</f>
        <v>Membrane protein because does not qualify to meet the criteria for a holin. Most likely second option is for a membrane protein through the use of PhagesDB, HHPred, Phamerator, and PECAAN.</v>
      </c>
      <c r="C20" s="6" t="str">
        <f ca="1">IFERROR(__xludf.DUMMYFUNCTION("""COMPUTED_VALUE"""),"minor tail protein. This is due to the NCBI blast, HHpred, and Phages db blast, as well as the synteny. ")</f>
        <v xml:space="preserve">minor tail protein. This is due to the NCBI blast, HHpred, and Phages db blast, as well as the synteny. </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IFERROR(__xludf.DUMMYFUNCTION("IMPORTRANGE(""https://docs.google.com/spreadsheets/d/1u6ZP_AyBJKGOZ-m1erEe8ylMC_0IEsUBTvQJRRPiF5g"", ""S27!B1:B22"")"),"Erin Loudermilk")</f>
        <v>Erin Loudermilk</v>
      </c>
      <c r="C1" s="11" t="str">
        <f ca="1">IFERROR(__xludf.DUMMYFUNCTION("IMPORTRANGE(""https://docs.google.com/spreadsheets/d/19cQ7zWvMqLBhgqC8nl5nOal4YuMd-mbE3bz8Irjnl7E"", ""S27!B1:B22"")"),"Jake Stafford")</f>
        <v>Jake Stafford</v>
      </c>
      <c r="D1" s="2" t="s">
        <v>0</v>
      </c>
    </row>
    <row r="2" spans="1:4" ht="15.75" customHeight="1" x14ac:dyDescent="0.15">
      <c r="A2" s="3" t="s">
        <v>1</v>
      </c>
      <c r="B2" s="4" t="str">
        <f ca="1">IFERROR(__xludf.DUMMYFUNCTION("""COMPUTED_VALUE"""),"19991 - 21094 FOR")</f>
        <v>19991 - 21094 FOR</v>
      </c>
      <c r="C2" s="4" t="str">
        <f ca="1">IFERROR(__xludf.DUMMYFUNCTION("""COMPUTED_VALUE"""),"Start:19991 Stop:21094 For")</f>
        <v>Start:19991 Stop:21094 For</v>
      </c>
      <c r="D2" s="4"/>
    </row>
    <row r="3" spans="1:4" ht="15.75" customHeight="1" x14ac:dyDescent="0.15">
      <c r="A3" s="5" t="s">
        <v>2</v>
      </c>
      <c r="B3" s="6" t="str">
        <f ca="1">IFERROR(__xludf.DUMMYFUNCTION("""COMPUTED_VALUE"""),"DNA: 26 Pham: 27")</f>
        <v>DNA: 26 Pham: 27</v>
      </c>
      <c r="C3" s="6" t="str">
        <f ca="1">IFERROR(__xludf.DUMMYFUNCTION("""COMPUTED_VALUE"""),"27 in Pham, 26 in DNAM")</f>
        <v>27 in Pham, 26 in DNAM</v>
      </c>
      <c r="D3" s="6"/>
    </row>
    <row r="4" spans="1:4" ht="15.75" customHeight="1" x14ac:dyDescent="0.15">
      <c r="A4" s="5" t="s">
        <v>3</v>
      </c>
      <c r="B4" s="6" t="str">
        <f ca="1">IFERROR(__xludf.DUMMYFUNCTION("""COMPUTED_VALUE"""),"Pham 5857 (4/4/25)")</f>
        <v>Pham 5857 (4/4/25)</v>
      </c>
      <c r="C4" s="6" t="str">
        <f ca="1">IFERROR(__xludf.DUMMYFUNCTION("""COMPUTED_VALUE"""),"5857 4/7/25")</f>
        <v>5857 4/7/25</v>
      </c>
      <c r="D4" s="6"/>
    </row>
    <row r="5" spans="1:4" ht="15.75" customHeight="1" x14ac:dyDescent="0.15">
      <c r="A5" s="5" t="s">
        <v>4</v>
      </c>
      <c r="B5" s="6" t="str">
        <f ca="1">IFERROR(__xludf.DUMMYFUNCTION("""COMPUTED_VALUE"""),"Nandita_27")</f>
        <v>Nandita_27</v>
      </c>
      <c r="C5" s="6" t="str">
        <f ca="1">IFERROR(__xludf.DUMMYFUNCTION("""COMPUTED_VALUE"""),"Nandita_27, Ryan_27")</f>
        <v>Nandita_27, Ryan_27</v>
      </c>
      <c r="D5" s="6"/>
    </row>
    <row r="6" spans="1:4" ht="15.75" customHeight="1" x14ac:dyDescent="0.15">
      <c r="A6" s="5" t="s">
        <v>5</v>
      </c>
      <c r="B6" s="6" t="str">
        <f ca="1">IFERROR(__xludf.DUMMYFUNCTION("""COMPUTED_VALUE"""),"Both call 19991 start")</f>
        <v>Both call 19991 start</v>
      </c>
      <c r="C6" s="6" t="str">
        <f ca="1">IFERROR(__xludf.DUMMYFUNCTION("""COMPUTED_VALUE"""),"both called same start")</f>
        <v>both called same start</v>
      </c>
      <c r="D6" s="6"/>
    </row>
    <row r="7" spans="1:4" ht="15.75" customHeight="1" x14ac:dyDescent="0.15">
      <c r="A7" s="5" t="s">
        <v>6</v>
      </c>
      <c r="B7" s="6" t="str">
        <f ca="1">IFERROR(__xludf.DUMMYFUNCTION("""COMPUTED_VALUE"""),"Gene has good coding potential, including start (according to GM Host)")</f>
        <v>Gene has good coding potential, including start (according to GM Host)</v>
      </c>
      <c r="C7" s="6" t="str">
        <f ca="1">IFERROR(__xludf.DUMMYFUNCTION("""COMPUTED_VALUE"""),"Good coding potential, all is included")</f>
        <v>Good coding potential, all is included</v>
      </c>
      <c r="D7" s="6"/>
    </row>
    <row r="8" spans="1:4" ht="15.75" customHeight="1" x14ac:dyDescent="0.15">
      <c r="A8" s="5" t="s">
        <v>7</v>
      </c>
      <c r="B8" s="6" t="str">
        <f ca="1">IFERROR(__xludf.DUMMYFUNCTION("""COMPUTED_VALUE"""),"Yes")</f>
        <v>Yes</v>
      </c>
      <c r="C8" s="6" t="str">
        <f ca="1">IFERROR(__xludf.DUMMYFUNCTION("""COMPUTED_VALUE"""),"Longest orf")</f>
        <v>Longest orf</v>
      </c>
      <c r="D8" s="6"/>
    </row>
    <row r="9" spans="1:4" ht="15.75" customHeight="1" x14ac:dyDescent="0.15">
      <c r="A9" s="5" t="s">
        <v>8</v>
      </c>
      <c r="B9" s="6" t="str">
        <f ca="1">IFERROR(__xludf.DUMMYFUNCTION("""COMPUTED_VALUE"""),"10 nucleotide gap")</f>
        <v>10 nucleotide gap</v>
      </c>
      <c r="C9" s="6" t="str">
        <f ca="1">IFERROR(__xludf.DUMMYFUNCTION("""COMPUTED_VALUE"""),"gap of 12 nucleotides")</f>
        <v>gap of 12 nucleotides</v>
      </c>
      <c r="D9" s="6"/>
    </row>
    <row r="10" spans="1:4" ht="15.75" customHeight="1" x14ac:dyDescent="0.15">
      <c r="A10" s="5" t="s">
        <v>9</v>
      </c>
      <c r="B10" s="6" t="str">
        <f ca="1">IFERROR(__xludf.DUMMYFUNCTION("""COMPUTED_VALUE"""),"2.191, best score")</f>
        <v>2.191, best score</v>
      </c>
      <c r="C10" s="6" t="str">
        <f ca="1">IFERROR(__xludf.DUMMYFUNCTION("""COMPUTED_VALUE"""),"zscore: 2.133, fscore: -4.326. Not the best score but chosing the start that has the best score would create a large gap.")</f>
        <v>zscore: 2.133, fscore: -4.326. Not the best score but chosing the start that has the best score would create a large gap.</v>
      </c>
      <c r="D10" s="6"/>
    </row>
    <row r="11" spans="1:4" ht="15.75" customHeight="1" x14ac:dyDescent="0.15">
      <c r="A11" s="5" t="s">
        <v>10</v>
      </c>
      <c r="B11" s="6" t="str">
        <f ca="1">IFERROR(__xludf.DUMMYFUNCTION("""COMPUTED_VALUE"""),"Nandita_27, 133 identity, 0.0E0, q: 134, s: 134")</f>
        <v>Nandita_27, 133 identity, 0.0E0, q: 134, s: 134</v>
      </c>
      <c r="C11" s="6" t="str">
        <f ca="1">IFERROR(__xludf.DUMMYFUNCTION("""COMPUTED_VALUE"""),"Nandita_27, 99.73% identity, eval=0. Ryan_27, 98.37% identity, eval=0")</f>
        <v>Nandita_27, 99.73% identity, eval=0. Ryan_27, 98.37% identity, eval=0</v>
      </c>
      <c r="D11" s="6"/>
    </row>
    <row r="12" spans="1:4" ht="15.75" customHeight="1" x14ac:dyDescent="0.15">
      <c r="A12" s="5" t="s">
        <v>11</v>
      </c>
      <c r="B12" s="6" t="str">
        <f ca="1">IFERROR(__xludf.DUMMYFUNCTION("""COMPUTED_VALUE"""),"Start is conserved in all members of pham, called 72.4% when present")</f>
        <v>Start is conserved in all members of pham, called 72.4% when present</v>
      </c>
      <c r="C12" s="6" t="str">
        <f ca="1">IFERROR(__xludf.DUMMYFUNCTION("""COMPUTED_VALUE"""),"Start found in 21 of 29 genes, called 100% of the time when present.")</f>
        <v>Start found in 21 of 29 genes, called 100% of the time when present.</v>
      </c>
      <c r="D12" s="6"/>
    </row>
    <row r="13" spans="1:4" ht="15.75" customHeight="1" x14ac:dyDescent="0.15">
      <c r="A13" s="5" t="s">
        <v>12</v>
      </c>
      <c r="B13" s="6" t="str">
        <f ca="1">IFERROR(__xludf.DUMMYFUNCTION("""COMPUTED_VALUE"""),"No")</f>
        <v>No</v>
      </c>
      <c r="C13" s="6" t="str">
        <f ca="1">IFERROR(__xludf.DUMMYFUNCTION("""COMPUTED_VALUE"""),"No, start is called 100% of the time when present, moving start to a better score would create a gap greater than 30 nucleotides")</f>
        <v>No, start is called 100% of the time when present, moving start to a better score would create a gap greater than 30 nucleotides</v>
      </c>
      <c r="D13" s="6"/>
    </row>
    <row r="14" spans="1:4" ht="15.75" customHeight="1" x14ac:dyDescent="0.15">
      <c r="A14" s="5" t="s">
        <v>13</v>
      </c>
      <c r="B14" s="6" t="str">
        <f ca="1">IFERROR(__xludf.DUMMYFUNCTION("""COMPUTED_VALUE"""),"Nandita_27, 0.0E0")</f>
        <v>Nandita_27, 0.0E0</v>
      </c>
      <c r="C14" s="6" t="str">
        <f ca="1">IFERROR(__xludf.DUMMYFUNCTION("""COMPUTED_VALUE"""),"Guinevera_27, eval=0. Nandita_27, eval=0.")</f>
        <v>Guinevera_27, eval=0. Nandita_27, eval=0.</v>
      </c>
      <c r="D14" s="6"/>
    </row>
    <row r="15" spans="1:4" ht="15.75" customHeight="1" x14ac:dyDescent="0.15">
      <c r="A15" s="5" t="s">
        <v>14</v>
      </c>
      <c r="B15" s="6" t="str">
        <f ca="1">IFERROR(__xludf.DUMMYFUNCTION("""COMPUTED_VALUE"""),"Minor tail protein")</f>
        <v>Minor tail protein</v>
      </c>
      <c r="C15" s="6" t="str">
        <f ca="1">IFERROR(__xludf.DUMMYFUNCTION("""COMPUTED_VALUE"""),"Guinevera_27, unknown function. Nandita_27, minor tail protein.")</f>
        <v>Guinevera_27, unknown function. Nandita_27, minor tail protein.</v>
      </c>
      <c r="D15" s="6"/>
    </row>
    <row r="16" spans="1:4" ht="15.75" customHeight="1" x14ac:dyDescent="0.15">
      <c r="A16" s="5" t="s">
        <v>15</v>
      </c>
      <c r="B16" s="6" t="str">
        <f ca="1">IFERROR(__xludf.DUMMYFUNCTION("""COMPUTED_VALUE"""),"found in similar environment in Nandita")</f>
        <v>found in similar environment in Nandita</v>
      </c>
      <c r="C16" s="6" t="str">
        <f ca="1">IFERROR(__xludf.DUMMYFUNCTION("""COMPUTED_VALUE"""),"Yes, great synteny with Nandita, adjacent through 29-35 genes in Nandita")</f>
        <v>Yes, great synteny with Nandita, adjacent through 29-35 genes in Nandita</v>
      </c>
      <c r="D16" s="6"/>
    </row>
    <row r="17" spans="1:4" ht="15.75" customHeight="1" x14ac:dyDescent="0.15">
      <c r="A17" s="5" t="s">
        <v>16</v>
      </c>
      <c r="B17" s="6" t="str">
        <f ca="1">IFERROR(__xludf.DUMMYFUNCTION("""COMPUTED_VALUE"""),"Minor tail protein; Bacteriophage, tail tip, VIRAL PROTEIN;{Mycobacterium phage Bxb1}, 99.87 probability, 98.09% Q, 95.5% T, FUNctional domain in target part of alignment")</f>
        <v>Minor tail protein; Bacteriophage, tail tip, VIRAL PROTEIN;{Mycobacterium phage Bxb1}, 99.87 probability, 98.09% Q, 95.5% T, FUNctional domain in target part of alignment</v>
      </c>
      <c r="C17" s="6" t="str">
        <f ca="1">IFERROR(__xludf.DUMMYFUNCTION("""COMPUTED_VALUE"""),"Prophage MuSo2, 43 kDa tail protein; MuSo2, Shewanella oneidensis MR-1, Structural Genomics, PSI-2, Protein Structure Initiative, Midwest Center for Structural Genomics, MCSG; HET: MSE; 2.1A {Shewanella oneidensis} SCOP: b.106.1.1. 99.7% probability, 87.2"&amp;"6% allq, 87.5% allt. within target part of the alignment")</f>
        <v>Prophage MuSo2, 43 kDa tail protein; MuSo2, Shewanella oneidensis MR-1, Structural Genomics, PSI-2, Protein Structure Initiative, Midwest Center for Structural Genomics, MCSG; HET: MSE; 2.1A {Shewanella oneidensis} SCOP: b.106.1.1. 99.7% probability, 87.26% allq, 87.5% allt. within target part of the alignment</v>
      </c>
      <c r="D17" s="6"/>
    </row>
    <row r="18" spans="1:4" ht="15.75" customHeight="1" x14ac:dyDescent="0.15">
      <c r="A18" s="5" t="s">
        <v>17</v>
      </c>
      <c r="B18" s="6" t="str">
        <f ca="1">IFERROR(__xludf.DUMMYFUNCTION("""COMPUTED_VALUE"""),"None")</f>
        <v>None</v>
      </c>
      <c r="C18" s="6" t="str">
        <f ca="1">IFERROR(__xludf.DUMMYFUNCTION("""COMPUTED_VALUE"""),"None ")</f>
        <v xml:space="preserve">None </v>
      </c>
      <c r="D18" s="6"/>
    </row>
    <row r="19" spans="1:4" ht="15.75" customHeight="1" x14ac:dyDescent="0.15">
      <c r="A19" s="5" t="s">
        <v>18</v>
      </c>
      <c r="B19" s="6" t="str">
        <f ca="1">IFERROR(__xludf.DUMMYFUNCTION("""COMPUTED_VALUE"""),"None")</f>
        <v>None</v>
      </c>
      <c r="C19" s="6" t="str">
        <f ca="1">IFERROR(__xludf.DUMMYFUNCTION("""COMPUTED_VALUE"""),"None ")</f>
        <v xml:space="preserve">None </v>
      </c>
      <c r="D19" s="6"/>
    </row>
    <row r="20" spans="1:4" ht="15.75" customHeight="1" x14ac:dyDescent="0.15">
      <c r="A20" s="5" t="s">
        <v>19</v>
      </c>
      <c r="B20" s="6" t="str">
        <f ca="1">IFERROR(__xludf.DUMMYFUNCTION("""COMPUTED_VALUE"""),"Minor tail protein")</f>
        <v>Minor tail protein</v>
      </c>
      <c r="C20" s="6" t="str">
        <f ca="1">IFERROR(__xludf.DUMMYFUNCTION("""COMPUTED_VALUE"""),"I think this is a minor tail protein because of homologous genes and the tail related findings on hhpred.")</f>
        <v>I think this is a minor tail protein because of homologous genes and the tail related findings on hhpred.</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IFERROR(__xludf.DUMMYFUNCTION("IMPORTRANGE(""https://docs.google.com/spreadsheets/d/1u6ZP_AyBJKGOZ-m1erEe8ylMC_0IEsUBTvQJRRPiF5g"", ""S28!B1:B22"")"),"Erin Loudermilk")</f>
        <v>Erin Loudermilk</v>
      </c>
      <c r="C1" s="11" t="str">
        <f ca="1">IFERROR(__xludf.DUMMYFUNCTION("IMPORTRANGE(""https://docs.google.com/spreadsheets/d/118rN356SVQ9wRlO8Wn-8gpg7SdHsE4vm-XldkW2-iEo"", ""S28!B1:B22"")"),"McKinzie Novak")</f>
        <v>McKinzie Novak</v>
      </c>
      <c r="D1" s="2" t="s">
        <v>0</v>
      </c>
    </row>
    <row r="2" spans="1:4" ht="15.75" customHeight="1" x14ac:dyDescent="0.15">
      <c r="A2" s="3" t="s">
        <v>1</v>
      </c>
      <c r="B2" s="4" t="str">
        <f ca="1">IFERROR(__xludf.DUMMYFUNCTION("""COMPUTED_VALUE"""),"21094 - 22041 (FOR)")</f>
        <v>21094 - 22041 (FOR)</v>
      </c>
      <c r="C2" s="4" t="str">
        <f ca="1">IFERROR(__xludf.DUMMYFUNCTION("""COMPUTED_VALUE"""),"START: 21094
STOP: 22041
FORWARD")</f>
        <v>START: 21094
STOP: 22041
FORWARD</v>
      </c>
      <c r="D2" s="4"/>
    </row>
    <row r="3" spans="1:4" ht="15.75" customHeight="1" x14ac:dyDescent="0.15">
      <c r="A3" s="5" t="s">
        <v>2</v>
      </c>
      <c r="B3" s="6" t="str">
        <f ca="1">IFERROR(__xludf.DUMMYFUNCTION("""COMPUTED_VALUE"""),"DNA: 27 Pham: 28")</f>
        <v>DNA: 27 Pham: 28</v>
      </c>
      <c r="C3" s="6" t="str">
        <f ca="1">IFERROR(__xludf.DUMMYFUNCTION("""COMPUTED_VALUE"""),"DNAM: 27
PHAM: 28
Phagesdb: 28")</f>
        <v>DNAM: 27
PHAM: 28
Phagesdb: 28</v>
      </c>
      <c r="D3" s="6"/>
    </row>
    <row r="4" spans="1:4" ht="15.75" customHeight="1" x14ac:dyDescent="0.15">
      <c r="A4" s="5" t="s">
        <v>3</v>
      </c>
      <c r="B4" s="6" t="str">
        <f ca="1">IFERROR(__xludf.DUMMYFUNCTION("""COMPUTED_VALUE"""),"Pham 193862 (4/4/25)")</f>
        <v>Pham 193862 (4/4/25)</v>
      </c>
      <c r="C4" s="6" t="str">
        <f ca="1">IFERROR(__xludf.DUMMYFUNCTION("""COMPUTED_VALUE"""),"#193862  4/4/25")</f>
        <v>#193862  4/4/25</v>
      </c>
      <c r="D4" s="6"/>
    </row>
    <row r="5" spans="1:4" ht="15.75" customHeight="1" x14ac:dyDescent="0.15">
      <c r="A5" s="5" t="s">
        <v>4</v>
      </c>
      <c r="B5" s="6" t="str">
        <f ca="1">IFERROR(__xludf.DUMMYFUNCTION("""COMPUTED_VALUE"""),"Nandita_28")</f>
        <v>Nandita_28</v>
      </c>
      <c r="C5" s="6" t="str">
        <f ca="1">IFERROR(__xludf.DUMMYFUNCTION("""COMPUTED_VALUE"""),"Guasanita #26 &amp; Nandita #28")</f>
        <v>Guasanita #26 &amp; Nandita #28</v>
      </c>
      <c r="D5" s="6"/>
    </row>
    <row r="6" spans="1:4" ht="15.75" customHeight="1" x14ac:dyDescent="0.15">
      <c r="A6" s="5" t="s">
        <v>5</v>
      </c>
      <c r="B6" s="6" t="str">
        <f ca="1">IFERROR(__xludf.DUMMYFUNCTION("""COMPUTED_VALUE"""),"Both call 21094 start")</f>
        <v>Both call 21094 start</v>
      </c>
      <c r="C6" s="6" t="str">
        <f ca="1">IFERROR(__xludf.DUMMYFUNCTION("""COMPUTED_VALUE"""),"Both Genemark and Glimmer call the start at 21094")</f>
        <v>Both Genemark and Glimmer call the start at 21094</v>
      </c>
      <c r="D6" s="6"/>
    </row>
    <row r="7" spans="1:4" ht="15.75" customHeight="1" x14ac:dyDescent="0.15">
      <c r="A7" s="5" t="s">
        <v>6</v>
      </c>
      <c r="B7" s="6" t="str">
        <f ca="1">IFERROR(__xludf.DUMMYFUNCTION("""COMPUTED_VALUE"""),"GM Host gives gene good coding potential including start")</f>
        <v>GM Host gives gene good coding potential including start</v>
      </c>
      <c r="C7" s="6" t="str">
        <f ca="1">IFERROR(__xludf.DUMMYFUNCTION("""COMPUTED_VALUE"""),"Yes, this gene has good coding potential up until the end of the coding sequence, where it crashes down a bit, and the start catches all coding potential.")</f>
        <v>Yes, this gene has good coding potential up until the end of the coding sequence, where it crashes down a bit, and the start catches all coding potential.</v>
      </c>
      <c r="D7" s="6"/>
    </row>
    <row r="8" spans="1:4" ht="15.75" customHeight="1" x14ac:dyDescent="0.15">
      <c r="A8" s="5" t="s">
        <v>7</v>
      </c>
      <c r="B8" s="6" t="str">
        <f ca="1">IFERROR(__xludf.DUMMYFUNCTION("""COMPUTED_VALUE"""),"yes")</f>
        <v>yes</v>
      </c>
      <c r="C8" s="6" t="str">
        <f ca="1">IFERROR(__xludf.DUMMYFUNCTION("""COMPUTED_VALUE"""),"Yes, this start is the longest possible open reading frame ")</f>
        <v xml:space="preserve">Yes, this start is the longest possible open reading frame </v>
      </c>
      <c r="D8" s="6"/>
    </row>
    <row r="9" spans="1:4" ht="15.75" customHeight="1" x14ac:dyDescent="0.15">
      <c r="A9" s="5" t="s">
        <v>8</v>
      </c>
      <c r="B9" s="6" t="str">
        <f ca="1">IFERROR(__xludf.DUMMYFUNCTION("""COMPUTED_VALUE"""),"no gap nor overlap")</f>
        <v>no gap nor overlap</v>
      </c>
      <c r="C9" s="6" t="str">
        <f ca="1">IFERROR(__xludf.DUMMYFUNCTION("""COMPUTED_VALUE"""),"There is a 1 basepair overlap between this start and the previous gene")</f>
        <v>There is a 1 basepair overlap between this start and the previous gene</v>
      </c>
      <c r="D9" s="6"/>
    </row>
    <row r="10" spans="1:4" ht="15.75" customHeight="1" x14ac:dyDescent="0.15">
      <c r="A10" s="5" t="s">
        <v>9</v>
      </c>
      <c r="B10" s="6">
        <f ca="1">IFERROR(__xludf.DUMMYFUNCTION("""COMPUTED_VALUE"""),2.968)</f>
        <v>2.968</v>
      </c>
      <c r="C10" s="6" t="str">
        <f ca="1">IFERROR(__xludf.DUMMYFUNCTION("""COMPUTED_VALUE"""),"Start: 21094 Z-score:2.93 rbs:-2.7")</f>
        <v>Start: 21094 Z-score:2.93 rbs:-2.7</v>
      </c>
      <c r="D10" s="6"/>
    </row>
    <row r="11" spans="1:4" ht="15.75" customHeight="1" x14ac:dyDescent="0.15">
      <c r="A11" s="5" t="s">
        <v>10</v>
      </c>
      <c r="B11" s="6" t="str">
        <f ca="1">IFERROR(__xludf.DUMMYFUNCTION("""COMPUTED_VALUE"""),"Nandita_28, 314 identity, 0.0e0, 315 Q, 315 S")</f>
        <v>Nandita_28, 314 identity, 0.0e0, 315 Q, 315 S</v>
      </c>
      <c r="C11" s="6" t="str">
        <f ca="1">IFERROR(__xludf.DUMMYFUNCTION("""COMPUTED_VALUE"""),"Nandita #28 %ID:99.7 
e-val:0.0e0 Q:1 S:1
Guasanita#26 %ID:97.1 e-val:0.0e0 Q:2 S:4")</f>
        <v>Nandita #28 %ID:99.7 
e-val:0.0e0 Q:1 S:1
Guasanita#26 %ID:97.1 e-val:0.0e0 Q:2 S:4</v>
      </c>
      <c r="D11" s="6"/>
    </row>
    <row r="12" spans="1:4" ht="15.75" customHeight="1" x14ac:dyDescent="0.15">
      <c r="A12" s="5" t="s">
        <v>11</v>
      </c>
      <c r="B12" s="6" t="str">
        <f ca="1">IFERROR(__xludf.DUMMYFUNCTION("""COMPUTED_VALUE"""),"Not conserved in all members, called 98.2% time when present")</f>
        <v>Not conserved in all members, called 98.2% time when present</v>
      </c>
      <c r="C12" s="6" t="str">
        <f ca="1">IFERROR(__xludf.DUMMYFUNCTION("""COMPUTED_VALUE"""),"Yes this start (#2) is the most annotated in the list (87.2), most cluster FF and AK phages call this start, so being that Schism is FF it has good support for this start ")</f>
        <v xml:space="preserve">Yes this start (#2) is the most annotated in the list (87.2), most cluster FF and AK phages call this start, so being that Schism is FF it has good support for this start </v>
      </c>
      <c r="D12" s="6"/>
    </row>
    <row r="13" spans="1:4" ht="15.75" customHeight="1" x14ac:dyDescent="0.15">
      <c r="A13" s="5" t="s">
        <v>12</v>
      </c>
      <c r="B13" s="6" t="str">
        <f ca="1">IFERROR(__xludf.DUMMYFUNCTION("""COMPUTED_VALUE"""),"No ")</f>
        <v xml:space="preserve">No </v>
      </c>
      <c r="C13" s="6" t="str">
        <f ca="1">IFERROR(__xludf.DUMMYFUNCTION("""COMPUTED_VALUE"""),"No, this start is well conserved in starterator, it has the highest Z-score, and is reflected in its cluster members.")</f>
        <v>No, this start is well conserved in starterator, it has the highest Z-score, and is reflected in its cluster members.</v>
      </c>
      <c r="D13" s="6"/>
    </row>
    <row r="14" spans="1:4" ht="15.75" customHeight="1" x14ac:dyDescent="0.15">
      <c r="A14" s="5" t="s">
        <v>13</v>
      </c>
      <c r="B14" s="6" t="str">
        <f ca="1">IFERROR(__xludf.DUMMYFUNCTION("""COMPUTED_VALUE"""),"Nandita_28, 0.0e0")</f>
        <v>Nandita_28, 0.0e0</v>
      </c>
      <c r="C14" s="6" t="str">
        <f ca="1">IFERROR(__xludf.DUMMYFUNCTION("""COMPUTED_VALUE"""),"Nandita #28 e-val:0.0e0 
Guasanita#26 e-val:0.0e0")</f>
        <v>Nandita #28 e-val:0.0e0 
Guasanita#26 e-val:0.0e0</v>
      </c>
      <c r="D14" s="6"/>
    </row>
    <row r="15" spans="1:4" ht="15.75" customHeight="1" x14ac:dyDescent="0.15">
      <c r="A15" s="5" t="s">
        <v>14</v>
      </c>
      <c r="B15" s="6" t="str">
        <f ca="1">IFERROR(__xludf.DUMMYFUNCTION("""COMPUTED_VALUE"""),"minor tail protein")</f>
        <v>minor tail protein</v>
      </c>
      <c r="C15" s="6" t="str">
        <f ca="1">IFERROR(__xludf.DUMMYFUNCTION("""COMPUTED_VALUE"""),"Nandita #28 (minor tail protein)
Guasanita#26 (minor tail protein)")</f>
        <v>Nandita #28 (minor tail protein)
Guasanita#26 (minor tail protein)</v>
      </c>
      <c r="D15" s="6"/>
    </row>
    <row r="16" spans="1:4" ht="15.75" customHeight="1" x14ac:dyDescent="0.15">
      <c r="A16" s="5" t="s">
        <v>15</v>
      </c>
      <c r="B16" s="6" t="str">
        <f ca="1">IFERROR(__xludf.DUMMYFUNCTION("""COMPUTED_VALUE"""),"found in similar environment in Nandita")</f>
        <v>found in similar environment in Nandita</v>
      </c>
      <c r="C16" s="6" t="str">
        <f ca="1">IFERROR(__xludf.DUMMYFUNCTION("""COMPUTED_VALUE"""),"Yes, the gene matches its genetic environment very well with good alignment and an adjacent minor tail protein to the left and an adjacent hypothetical protein to the right.")</f>
        <v>Yes, the gene matches its genetic environment very well with good alignment and an adjacent minor tail protein to the left and an adjacent hypothetical protein to the right.</v>
      </c>
      <c r="D16" s="6"/>
    </row>
    <row r="17" spans="1:4" ht="15.75" customHeight="1" x14ac:dyDescent="0.15">
      <c r="A17" s="5" t="s">
        <v>16</v>
      </c>
      <c r="B17" s="6" t="str">
        <f ca="1">IFERROR(__xludf.DUMMYFUNCTION("""COMPUTED_VALUE"""),"FIB37_BPOX2 Long tail fiber protein, 97.73% probability, 99.68% Q, 100% T, Functional domain in target part of alignment")</f>
        <v>FIB37_BPOX2 Long tail fiber protein, 97.73% probability, 99.68% Q, 100% T, Functional domain in target part of alignment</v>
      </c>
      <c r="C17" s="6" t="str">
        <f ca="1">IFERROR(__xludf.DUMMYFUNCTION("""COMPUTED_VALUE"""),"DESC: FIB37_BPOX2 Long tail fiber protein p37 (Fragment) OS=Enterobacteria phage Ox2 OX=10691 GN=37 PE=3 SV=1
%prob: 97.73
%ALT: 42.63 %ALQ: 33.97
No domain to go off of? it says disordered binding.")</f>
        <v>DESC: FIB37_BPOX2 Long tail fiber protein p37 (Fragment) OS=Enterobacteria phage Ox2 OX=10691 GN=37 PE=3 SV=1
%prob: 97.73
%ALT: 42.63 %ALQ: 33.97
No domain to go off of? it says disordered binding.</v>
      </c>
      <c r="D17" s="6"/>
    </row>
    <row r="18" spans="1:4" ht="15.75" customHeight="1" x14ac:dyDescent="0.15">
      <c r="A18" s="5" t="s">
        <v>17</v>
      </c>
      <c r="B18" s="6" t="str">
        <f ca="1">IFERROR(__xludf.DUMMYFUNCTION("""COMPUTED_VALUE"""),"Peptidase_S74")</f>
        <v>Peptidase_S74</v>
      </c>
      <c r="C18" s="6" t="str">
        <f ca="1">IFERROR(__xludf.DUMMYFUNCTION("""COMPUTED_VALUE"""),"Phamerator finds this domain; Peptidase_S74 (Chaperone of endosialidase)in the gene. ")</f>
        <v xml:space="preserve">Phamerator finds this domain; Peptidase_S74 (Chaperone of endosialidase)in the gene. </v>
      </c>
      <c r="D18" s="6"/>
    </row>
    <row r="19" spans="1:4" ht="15.75" customHeight="1" x14ac:dyDescent="0.15">
      <c r="A19" s="5" t="s">
        <v>18</v>
      </c>
      <c r="B19" s="6" t="str">
        <f ca="1">IFERROR(__xludf.DUMMYFUNCTION("""COMPUTED_VALUE"""),"None")</f>
        <v>None</v>
      </c>
      <c r="C19" s="6" t="str">
        <f ca="1">IFERROR(__xludf.DUMMYFUNCTION("""COMPUTED_VALUE"""),"None - outside")</f>
        <v>None - outside</v>
      </c>
      <c r="D19" s="6"/>
    </row>
    <row r="20" spans="1:4" ht="15.75" customHeight="1" x14ac:dyDescent="0.15">
      <c r="A20" s="5" t="s">
        <v>19</v>
      </c>
      <c r="B20" s="6" t="str">
        <f ca="1">IFERROR(__xludf.DUMMYFUNCTION("""COMPUTED_VALUE"""),"Minor tail protein")</f>
        <v>Minor tail protein</v>
      </c>
      <c r="C20" s="6" t="str">
        <f ca="1">IFERROR(__xludf.DUMMYFUNCTION("""COMPUTED_VALUE"""),"minor tail protein (can't find much on it but Nandita has the same conserved domain and good alignment) ")</f>
        <v xml:space="preserve">minor tail protein (can't find much on it but Nandita has the same conserved domain and good alignment) </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IFERROR(__xludf.DUMMYFUNCTION("IMPORTRANGE(""https://docs.google.com/spreadsheets/d/1rjebY3ldoEXrRbLWoPXCIhvF_kMyOvJr_yst6T3o1Qk"", ""S29!B1:B22"")"),"Zachary Edwards")</f>
        <v>Zachary Edwards</v>
      </c>
      <c r="C1" s="11" t="str">
        <f ca="1">IFERROR(__xludf.DUMMYFUNCTION("IMPORTRANGE(""https://docs.google.com/spreadsheets/d/19cQ7zWvMqLBhgqC8nl5nOal4YuMd-mbE3bz8Irjnl7E"", ""S29!B1:B22"")"),"Jake Stafford")</f>
        <v>Jake Stafford</v>
      </c>
      <c r="D1" s="2" t="s">
        <v>0</v>
      </c>
    </row>
    <row r="2" spans="1:4" ht="15.75" customHeight="1" x14ac:dyDescent="0.15">
      <c r="A2" s="3" t="s">
        <v>1</v>
      </c>
      <c r="B2" s="4" t="str">
        <f ca="1">IFERROR(__xludf.DUMMYFUNCTION("""COMPUTED_VALUE"""),"DNAM Start:22041 Stop:22400
PHAM Start:22041 Stop:22400
FOR")</f>
        <v>DNAM Start:22041 Stop:22400
PHAM Start:22041 Stop:22400
FOR</v>
      </c>
      <c r="C2" s="4" t="str">
        <f ca="1">IFERROR(__xludf.DUMMYFUNCTION("""COMPUTED_VALUE"""),"Start:22041 Stop:22400 FOR ")</f>
        <v xml:space="preserve">Start:22041 Stop:22400 FOR </v>
      </c>
      <c r="D2" s="4"/>
    </row>
    <row r="3" spans="1:4" ht="15.75" customHeight="1" x14ac:dyDescent="0.15">
      <c r="A3" s="5" t="s">
        <v>2</v>
      </c>
      <c r="B3" s="6" t="str">
        <f ca="1">IFERROR(__xludf.DUMMYFUNCTION("""COMPUTED_VALUE"""),"DNAM:28
PHAM:29")</f>
        <v>DNAM:28
PHAM:29</v>
      </c>
      <c r="C3" s="6" t="str">
        <f ca="1">IFERROR(__xludf.DUMMYFUNCTION("""COMPUTED_VALUE"""),"29 in PHAM, 28 in DNAM")</f>
        <v>29 in PHAM, 28 in DNAM</v>
      </c>
      <c r="D3" s="6"/>
    </row>
    <row r="4" spans="1:4" ht="15.75" customHeight="1" x14ac:dyDescent="0.15">
      <c r="A4" s="5" t="s">
        <v>3</v>
      </c>
      <c r="B4" s="6" t="str">
        <f ca="1">IFERROR(__xludf.DUMMYFUNCTION("""COMPUTED_VALUE"""),"87079 3/31/25")</f>
        <v>87079 3/31/25</v>
      </c>
      <c r="C4" s="6" t="str">
        <f ca="1">IFERROR(__xludf.DUMMYFUNCTION("""COMPUTED_VALUE"""),"87079 4/7/25")</f>
        <v>87079 4/7/25</v>
      </c>
      <c r="D4" s="6"/>
    </row>
    <row r="5" spans="1:4" ht="15.75" customHeight="1" x14ac:dyDescent="0.15">
      <c r="A5" s="5" t="s">
        <v>4</v>
      </c>
      <c r="B5" s="6" t="str">
        <f ca="1">IFERROR(__xludf.DUMMYFUNCTION("""COMPUTED_VALUE"""),"Nandita_29
")</f>
        <v xml:space="preserve">Nandita_29
</v>
      </c>
      <c r="C5" s="6" t="str">
        <f ca="1">IFERROR(__xludf.DUMMYFUNCTION("""COMPUTED_VALUE"""),"Nandita_29, Ryan_29")</f>
        <v>Nandita_29, Ryan_29</v>
      </c>
      <c r="D5" s="6"/>
    </row>
    <row r="6" spans="1:4" ht="15.75" customHeight="1" x14ac:dyDescent="0.15">
      <c r="A6" s="5" t="s">
        <v>5</v>
      </c>
      <c r="B6" s="6" t="str">
        <f ca="1">IFERROR(__xludf.DUMMYFUNCTION("""COMPUTED_VALUE"""),"Both agree on start")</f>
        <v>Both agree on start</v>
      </c>
      <c r="C6" s="6" t="str">
        <f ca="1">IFERROR(__xludf.DUMMYFUNCTION("""COMPUTED_VALUE"""),"both called same start")</f>
        <v>both called same start</v>
      </c>
      <c r="D6" s="6"/>
    </row>
    <row r="7" spans="1:4" ht="15.75" customHeight="1" x14ac:dyDescent="0.15">
      <c r="A7" s="5" t="s">
        <v>6</v>
      </c>
      <c r="B7" s="6" t="str">
        <f ca="1">IFERROR(__xludf.DUMMYFUNCTION("""COMPUTED_VALUE"""),"All included")</f>
        <v>All included</v>
      </c>
      <c r="C7" s="6" t="str">
        <f ca="1">IFERROR(__xludf.DUMMYFUNCTION("""COMPUTED_VALUE"""),"coding potential, all is included")</f>
        <v>coding potential, all is included</v>
      </c>
      <c r="D7" s="6"/>
    </row>
    <row r="8" spans="1:4" ht="15.75" customHeight="1" x14ac:dyDescent="0.15">
      <c r="A8" s="5" t="s">
        <v>7</v>
      </c>
      <c r="B8" s="6" t="str">
        <f ca="1">IFERROR(__xludf.DUMMYFUNCTION("""COMPUTED_VALUE"""),"Yes")</f>
        <v>Yes</v>
      </c>
      <c r="C8" s="6" t="str">
        <f ca="1">IFERROR(__xludf.DUMMYFUNCTION("""COMPUTED_VALUE"""),"longest possible ORF")</f>
        <v>longest possible ORF</v>
      </c>
      <c r="D8" s="6"/>
    </row>
    <row r="9" spans="1:4" ht="15.75" customHeight="1" x14ac:dyDescent="0.15">
      <c r="A9" s="5" t="s">
        <v>8</v>
      </c>
      <c r="B9" s="6" t="str">
        <f ca="1">IFERROR(__xludf.DUMMYFUNCTION("""COMPUTED_VALUE"""),"1 NT overlap (share stop w/start)")</f>
        <v>1 NT overlap (share stop w/start)</v>
      </c>
      <c r="C9" s="6" t="str">
        <f ca="1">IFERROR(__xludf.DUMMYFUNCTION("""COMPUTED_VALUE"""),"overlap of 2 nucleotides")</f>
        <v>overlap of 2 nucleotides</v>
      </c>
      <c r="D9" s="6"/>
    </row>
    <row r="10" spans="1:4" ht="15.75" customHeight="1" x14ac:dyDescent="0.15">
      <c r="A10" s="5" t="s">
        <v>9</v>
      </c>
      <c r="B10" s="6" t="str">
        <f ca="1">IFERROR(__xludf.DUMMYFUNCTION("""COMPUTED_VALUE"""),"Current 2.368 (22041) Best")</f>
        <v>Current 2.368 (22041) Best</v>
      </c>
      <c r="C10" s="6" t="str">
        <f ca="1">IFERROR(__xludf.DUMMYFUNCTION("""COMPUTED_VALUE"""),"zscore:2.368 fscore: -3.839 best score")</f>
        <v>zscore:2.368 fscore: -3.839 best score</v>
      </c>
      <c r="D10" s="6"/>
    </row>
    <row r="11" spans="1:4" ht="15.75" customHeight="1" x14ac:dyDescent="0.15">
      <c r="A11" s="5" t="s">
        <v>10</v>
      </c>
      <c r="B11" s="6" t="str">
        <f ca="1">IFERROR(__xludf.DUMMYFUNCTION("""COMPUTED_VALUE"""),"Nandita_29
%ID:100%
E:2e-78
1:1")</f>
        <v>Nandita_29
%ID:100%
E:2e-78
1:1</v>
      </c>
      <c r="C11" s="6" t="str">
        <f ca="1">IFERROR(__xludf.DUMMYFUNCTION("""COMPUTED_VALUE"""),"Nandita_29, 100% identity, eval: 2e-78. Ryan_29, 97.48% identity, eval: 3e-76")</f>
        <v>Nandita_29, 100% identity, eval: 2e-78. Ryan_29, 97.48% identity, eval: 3e-76</v>
      </c>
      <c r="D11" s="6"/>
    </row>
    <row r="12" spans="1:4" ht="15.75" customHeight="1" x14ac:dyDescent="0.15">
      <c r="A12" s="5" t="s">
        <v>11</v>
      </c>
      <c r="B12" s="6" t="str">
        <f ca="1">IFERROR(__xludf.DUMMYFUNCTION("""COMPUTED_VALUE"""),"24 of 31 call current start (most of FF)")</f>
        <v>24 of 31 call current start (most of FF)</v>
      </c>
      <c r="C12" s="6" t="str">
        <f ca="1">IFERROR(__xludf.DUMMYFUNCTION("""COMPUTED_VALUE"""),"Found in 24/31 found in called 100% of the time when present")</f>
        <v>Found in 24/31 found in called 100% of the time when present</v>
      </c>
      <c r="D12" s="6"/>
    </row>
    <row r="13" spans="1:4" ht="15.75" customHeight="1" x14ac:dyDescent="0.15">
      <c r="A13" s="5" t="s">
        <v>12</v>
      </c>
      <c r="B13" s="6" t="str">
        <f ca="1">IFERROR(__xludf.DUMMYFUNCTION("""COMPUTED_VALUE"""),"No reason to.")</f>
        <v>No reason to.</v>
      </c>
      <c r="C13" s="6" t="str">
        <f ca="1">IFERROR(__xludf.DUMMYFUNCTION("""COMPUTED_VALUE"""),"Start not changed, longest orf, best score, start is called 100% of the time when present")</f>
        <v>Start not changed, longest orf, best score, start is called 100% of the time when present</v>
      </c>
      <c r="D13" s="6"/>
    </row>
    <row r="14" spans="1:4" ht="15.75" customHeight="1" x14ac:dyDescent="0.15">
      <c r="A14" s="5" t="s">
        <v>13</v>
      </c>
      <c r="B14" s="6" t="str">
        <f ca="1">IFERROR(__xludf.DUMMYFUNCTION("""COMPUTED_VALUE"""),"Nandita_29
E:2e-64")</f>
        <v>Nandita_29
E:2e-64</v>
      </c>
      <c r="C14" s="6" t="str">
        <f ca="1">IFERROR(__xludf.DUMMYFUNCTION("""COMPUTED_VALUE"""),"Nandita_29, eval:2e-64. Guinevera_29 eval:2e-64")</f>
        <v>Nandita_29, eval:2e-64. Guinevera_29 eval:2e-64</v>
      </c>
      <c r="D14" s="6"/>
    </row>
    <row r="15" spans="1:4" ht="15.75" customHeight="1" x14ac:dyDescent="0.15">
      <c r="A15" s="5" t="s">
        <v>14</v>
      </c>
      <c r="B15" s="6" t="str">
        <f ca="1">IFERROR(__xludf.DUMMYFUNCTION("""COMPUTED_VALUE"""),"Unknown Function")</f>
        <v>Unknown Function</v>
      </c>
      <c r="C15" s="6" t="str">
        <f ca="1">IFERROR(__xludf.DUMMYFUNCTION("""COMPUTED_VALUE"""),"Both have unknown functions")</f>
        <v>Both have unknown functions</v>
      </c>
      <c r="D15" s="6"/>
    </row>
    <row r="16" spans="1:4" ht="15.75" customHeight="1" x14ac:dyDescent="0.15">
      <c r="A16" s="5" t="s">
        <v>15</v>
      </c>
      <c r="B16" s="6" t="str">
        <f ca="1">IFERROR(__xludf.DUMMYFUNCTION("""COMPUTED_VALUE"""),"Sama genetic Environment as Nandita")</f>
        <v>Sama genetic Environment as Nandita</v>
      </c>
      <c r="C16" s="6" t="str">
        <f ca="1">IFERROR(__xludf.DUMMYFUNCTION("""COMPUTED_VALUE"""),"Yes, adjacent 22-33 in Nandita")</f>
        <v>Yes, adjacent 22-33 in Nandita</v>
      </c>
      <c r="D16" s="6"/>
    </row>
    <row r="17" spans="1:4" ht="15.75" customHeight="1" x14ac:dyDescent="0.15">
      <c r="A17" s="5" t="s">
        <v>16</v>
      </c>
      <c r="B17" s="6" t="str">
        <f ca="1">IFERROR(__xludf.DUMMYFUNCTION("""COMPUTED_VALUE"""),"Nothing of reasonable compatibility")</f>
        <v>Nothing of reasonable compatibility</v>
      </c>
      <c r="C17" s="6" t="str">
        <f ca="1">IFERROR(__xludf.DUMMYFUNCTION("""COMPUTED_VALUE"""),"C24 PROTEIN; FIBER, VIRAL ORIGIN, UNKNOWN FUNCTION; 1.82A {Bizionia argentinensis JUB59}. VERY POOR 15.22% probabilty. 28.57% allq, 12.27% allt. The functional domain is not part of the alignment.")</f>
        <v>C24 PROTEIN; FIBER, VIRAL ORIGIN, UNKNOWN FUNCTION; 1.82A {Bizionia argentinensis JUB59}. VERY POOR 15.22% probabilty. 28.57% allq, 12.27% allt. The functional domain is not part of the alignment.</v>
      </c>
      <c r="D17" s="6"/>
    </row>
    <row r="18" spans="1:4" ht="15.75" customHeight="1" x14ac:dyDescent="0.15">
      <c r="A18" s="5" t="s">
        <v>17</v>
      </c>
      <c r="B18" s="6" t="str">
        <f ca="1">IFERROR(__xludf.DUMMYFUNCTION("""COMPUTED_VALUE"""),"DUF")</f>
        <v>DUF</v>
      </c>
      <c r="C18" s="6" t="str">
        <f ca="1">IFERROR(__xludf.DUMMYFUNCTION("""COMPUTED_VALUE"""),"None")</f>
        <v>None</v>
      </c>
      <c r="D18" s="6"/>
    </row>
    <row r="19" spans="1:4" ht="15.75" customHeight="1" x14ac:dyDescent="0.15">
      <c r="A19" s="5" t="s">
        <v>18</v>
      </c>
      <c r="B19" s="6" t="str">
        <f ca="1">IFERROR(__xludf.DUMMYFUNCTION("""COMPUTED_VALUE"""),"N/A")</f>
        <v>N/A</v>
      </c>
      <c r="C19" s="6" t="str">
        <f ca="1">IFERROR(__xludf.DUMMYFUNCTION("""COMPUTED_VALUE"""),"None")</f>
        <v>None</v>
      </c>
      <c r="D19" s="6"/>
    </row>
    <row r="20" spans="1:4" ht="15.75" customHeight="1" x14ac:dyDescent="0.15">
      <c r="A20" s="5" t="s">
        <v>19</v>
      </c>
      <c r="B20" s="6" t="str">
        <f ca="1">IFERROR(__xludf.DUMMYFUNCTION("""COMPUTED_VALUE"""),"Hypothetical Protein")</f>
        <v>Hypothetical Protein</v>
      </c>
      <c r="C20" s="6" t="str">
        <f ca="1">IFERROR(__xludf.DUMMYFUNCTION("""COMPUTED_VALUE"""),"Hypothetical protein, poor hhpred results, homologous genes have unknown functions.")</f>
        <v>Hypothetical protein, poor hhpred results, homologous genes have unknown functions.</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IFERROR(__xludf.DUMMYFUNCTION("IMPORTRANGE(""https://docs.google.com/spreadsheets/d/1mDoveT5ogJcal0bN308rf9jioMYsAcKe21Otdt4nuTk"", ""S30!B1:B22"")"),"Put Your Name Here")</f>
        <v>Put Your Name Here</v>
      </c>
      <c r="C1" s="11" t="str">
        <f ca="1">IFERROR(__xludf.DUMMYFUNCTION("IMPORTRANGE(""https://docs.google.com/spreadsheets/d/1NBZgc2wQWlGwpwt7AcCySCDz0bod7B0VKf0lrtlBP8Q"", ""S30!B1:B22"")"),"Jackson Root")</f>
        <v>Jackson Root</v>
      </c>
      <c r="D1" s="2" t="s">
        <v>0</v>
      </c>
    </row>
    <row r="2" spans="1:4" ht="15.75" customHeight="1" x14ac:dyDescent="0.15">
      <c r="A2" s="3" t="s">
        <v>1</v>
      </c>
      <c r="B2" s="4" t="str">
        <f ca="1">IFERROR(__xludf.DUMMYFUNCTION("""COMPUTED_VALUE"""),"22410 - 23138 FOW")</f>
        <v>22410 - 23138 FOW</v>
      </c>
      <c r="C2" s="4" t="str">
        <f ca="1">IFERROR(__xludf.DUMMYFUNCTION("""COMPUTED_VALUE"""),"Start: 22410  Stop: 23138   Forward")</f>
        <v>Start: 22410  Stop: 23138   Forward</v>
      </c>
      <c r="D2" s="4"/>
    </row>
    <row r="3" spans="1:4" ht="15.75" customHeight="1" x14ac:dyDescent="0.15">
      <c r="A3" s="5" t="s">
        <v>2</v>
      </c>
      <c r="B3" s="6" t="str">
        <f ca="1">IFERROR(__xludf.DUMMYFUNCTION("""COMPUTED_VALUE"""),"DNA Master_29 
Phamerator_30 ")</f>
        <v xml:space="preserve">DNA Master_29 
Phamerator_30 </v>
      </c>
      <c r="C3" s="6" t="str">
        <f ca="1">IFERROR(__xludf.DUMMYFUNCTION("""COMPUTED_VALUE"""),"Pham: 30   DNA: 29")</f>
        <v>Pham: 30   DNA: 29</v>
      </c>
      <c r="D3" s="6"/>
    </row>
    <row r="4" spans="1:4" ht="15.75" customHeight="1" x14ac:dyDescent="0.15">
      <c r="A4" s="5" t="s">
        <v>3</v>
      </c>
      <c r="B4" s="6" t="str">
        <f ca="1">IFERROR(__xludf.DUMMYFUNCTION("""COMPUTED_VALUE"""),"220028 4/2/25")</f>
        <v>220028 4/2/25</v>
      </c>
      <c r="C4" s="6" t="str">
        <f ca="1">IFERROR(__xludf.DUMMYFUNCTION("""COMPUTED_VALUE"""),"pham 220028   04/07/2025")</f>
        <v>pham 220028   04/07/2025</v>
      </c>
      <c r="D4" s="6"/>
    </row>
    <row r="5" spans="1:4" ht="15.75" customHeight="1" x14ac:dyDescent="0.15">
      <c r="A5" s="5" t="s">
        <v>4</v>
      </c>
      <c r="B5" s="6" t="str">
        <f ca="1">IFERROR(__xludf.DUMMYFUNCTION("""COMPUTED_VALUE"""),"Nandita_30")</f>
        <v>Nandita_30</v>
      </c>
      <c r="C5" s="6" t="str">
        <f ca="1">IFERROR(__xludf.DUMMYFUNCTION("""COMPUTED_VALUE"""),"Nandita_30; Zaheer_30")</f>
        <v>Nandita_30; Zaheer_30</v>
      </c>
      <c r="D5" s="6"/>
    </row>
    <row r="6" spans="1:4" ht="15.75" customHeight="1" x14ac:dyDescent="0.15">
      <c r="A6" s="5" t="s">
        <v>5</v>
      </c>
      <c r="B6" s="6" t="str">
        <f ca="1">IFERROR(__xludf.DUMMYFUNCTION("""COMPUTED_VALUE"""),"both call @bp 22410 strength 13.96 ")</f>
        <v xml:space="preserve">both call @bp 22410 strength 13.96 </v>
      </c>
      <c r="C6" s="6" t="str">
        <f ca="1">IFERROR(__xludf.DUMMYFUNCTION("""COMPUTED_VALUE"""),"both called 22410")</f>
        <v>both called 22410</v>
      </c>
      <c r="D6" s="6"/>
    </row>
    <row r="7" spans="1:4" ht="15.75" customHeight="1" x14ac:dyDescent="0.15">
      <c r="A7" s="5" t="s">
        <v>6</v>
      </c>
      <c r="B7" s="6" t="str">
        <f ca="1">IFERROR(__xludf.DUMMYFUNCTION("""COMPUTED_VALUE"""),"yes")</f>
        <v>yes</v>
      </c>
      <c r="C7" s="6" t="str">
        <f ca="1">IFERROR(__xludf.DUMMYFUNCTION("""COMPUTED_VALUE"""),"there is coding potential, all coding potential captured")</f>
        <v>there is coding potential, all coding potential captured</v>
      </c>
      <c r="D7" s="6"/>
    </row>
    <row r="8" spans="1:4" ht="15.75" customHeight="1" x14ac:dyDescent="0.15">
      <c r="A8" s="5" t="s">
        <v>7</v>
      </c>
      <c r="B8" s="6" t="str">
        <f ca="1">IFERROR(__xludf.DUMMYFUNCTION("""COMPUTED_VALUE"""),"yes ")</f>
        <v xml:space="preserve">yes </v>
      </c>
      <c r="C8" s="6" t="str">
        <f ca="1">IFERROR(__xludf.DUMMYFUNCTION("""COMPUTED_VALUE"""),"This is the longest frame")</f>
        <v>This is the longest frame</v>
      </c>
      <c r="D8" s="6"/>
    </row>
    <row r="9" spans="1:4" ht="15.75" customHeight="1" x14ac:dyDescent="0.15">
      <c r="A9" s="5" t="s">
        <v>8</v>
      </c>
      <c r="B9" s="6" t="str">
        <f ca="1">IFERROR(__xludf.DUMMYFUNCTION("""COMPUTED_VALUE"""),"12 nt gap ")</f>
        <v xml:space="preserve">12 nt gap </v>
      </c>
      <c r="C9" s="6" t="str">
        <f ca="1">IFERROR(__xludf.DUMMYFUNCTION("""COMPUTED_VALUE"""),"gap with previous: 2 Bp")</f>
        <v>gap with previous: 2 Bp</v>
      </c>
      <c r="D9" s="6"/>
    </row>
    <row r="10" spans="1:4" ht="15.75" customHeight="1" x14ac:dyDescent="0.15">
      <c r="A10" s="5" t="s">
        <v>9</v>
      </c>
      <c r="B10" s="6" t="str">
        <f ca="1">IFERROR(__xludf.DUMMYFUNCTION("""COMPUTED_VALUE"""),"current start has a god Zscore (2.133) ")</f>
        <v xml:space="preserve">current start has a god Zscore (2.133) </v>
      </c>
      <c r="C10" s="6" t="str">
        <f ca="1">IFERROR(__xludf.DUMMYFUNCTION("""COMPUTED_VALUE"""),"z-score: 2.133; best score")</f>
        <v>z-score: 2.133; best score</v>
      </c>
      <c r="D10" s="6"/>
    </row>
    <row r="11" spans="1:4" ht="15.75" customHeight="1" x14ac:dyDescent="0.15">
      <c r="A11" s="5" t="s">
        <v>10</v>
      </c>
      <c r="B11" s="6" t="str">
        <f ca="1">IFERROR(__xludf.DUMMYFUNCTION("""COMPUTED_VALUE"""),"Nandita_30; 100% identity; 8.83054e-174")</f>
        <v>Nandita_30; 100% identity; 8.83054e-174</v>
      </c>
      <c r="C11" s="6" t="str">
        <f ca="1">IFERROR(__xludf.DUMMYFUNCTION("""COMPUTED_VALUE"""),"best hits were nandita and QuinnAvery; % identity; E-val: 0.0e0; Q: 1-242; T: 1-242")</f>
        <v>best hits were nandita and QuinnAvery; % identity; E-val: 0.0e0; Q: 1-242; T: 1-242</v>
      </c>
      <c r="D11" s="6"/>
    </row>
    <row r="12" spans="1:4" ht="15.75" customHeight="1" x14ac:dyDescent="0.15">
      <c r="A12" s="5" t="s">
        <v>11</v>
      </c>
      <c r="B12" s="6" t="str">
        <f ca="1">IFERROR(__xludf.DUMMYFUNCTION("""COMPUTED_VALUE"""),"yes start 3 called 12 out of 12 times")</f>
        <v>yes start 3 called 12 out of 12 times</v>
      </c>
      <c r="C12" s="6" t="str">
        <f ca="1">IFERROR(__xludf.DUMMYFUNCTION("""COMPUTED_VALUE"""),"start is conserved, called 100% when present (12/12)")</f>
        <v>start is conserved, called 100% when present (12/12)</v>
      </c>
      <c r="D12" s="6"/>
    </row>
    <row r="13" spans="1:4" ht="15.75" customHeight="1" x14ac:dyDescent="0.15">
      <c r="A13" s="5" t="s">
        <v>12</v>
      </c>
      <c r="B13" s="6" t="str">
        <f ca="1">IFERROR(__xludf.DUMMYFUNCTION("""COMPUTED_VALUE"""),"no")</f>
        <v>no</v>
      </c>
      <c r="C13" s="6" t="str">
        <f ca="1">IFERROR(__xludf.DUMMYFUNCTION("""COMPUTED_VALUE"""),"no change")</f>
        <v>no change</v>
      </c>
      <c r="D13" s="6"/>
    </row>
    <row r="14" spans="1:4" ht="15.75" customHeight="1" x14ac:dyDescent="0.15">
      <c r="A14" s="5" t="s">
        <v>13</v>
      </c>
      <c r="B14" s="6" t="str">
        <f ca="1">IFERROR(__xludf.DUMMYFUNCTION("""COMPUTED_VALUE"""),"Nandita_30 e-138 ")</f>
        <v xml:space="preserve">Nandita_30 e-138 </v>
      </c>
      <c r="C14" s="6" t="str">
        <f ca="1">IFERROR(__xludf.DUMMYFUNCTION("""COMPUTED_VALUE"""),"Nandita_30: e-138")</f>
        <v>Nandita_30: e-138</v>
      </c>
      <c r="D14" s="6"/>
    </row>
    <row r="15" spans="1:4" ht="15.75" customHeight="1" x14ac:dyDescent="0.15">
      <c r="A15" s="5" t="s">
        <v>14</v>
      </c>
      <c r="B15" s="6" t="str">
        <f ca="1">IFERROR(__xludf.DUMMYFUNCTION("""COMPUTED_VALUE"""),"function unknown ")</f>
        <v xml:space="preserve">function unknown </v>
      </c>
      <c r="C15" s="6" t="str">
        <f ca="1">IFERROR(__xludf.DUMMYFUNCTION("""COMPUTED_VALUE"""),"Nandita: function Unknown")</f>
        <v>Nandita: function Unknown</v>
      </c>
      <c r="D15" s="6"/>
    </row>
    <row r="16" spans="1:4" ht="15.75" customHeight="1" x14ac:dyDescent="0.15">
      <c r="A16" s="5" t="s">
        <v>15</v>
      </c>
      <c r="B16" s="6" t="str">
        <f ca="1">IFERROR(__xludf.DUMMYFUNCTION("""COMPUTED_VALUE"""),"yes")</f>
        <v>yes</v>
      </c>
      <c r="C16" s="6" t="str">
        <f ca="1">IFERROR(__xludf.DUMMYFUNCTION("""COMPUTED_VALUE"""),"Found in the same genetic environment as Nandita_30")</f>
        <v>Found in the same genetic environment as Nandita_30</v>
      </c>
      <c r="D16" s="6"/>
    </row>
    <row r="17" spans="1:4" ht="15.75" customHeight="1" x14ac:dyDescent="0.15">
      <c r="A17" s="5" t="s">
        <v>16</v>
      </c>
      <c r="B17" s="6" t="str">
        <f ca="1">IFERROR(__xludf.DUMMYFUNCTION("""COMPUTED_VALUE"""),"Tail fiber protein; fiber, virus, viral protein; 3.76A {unclassified Caudoviricetes}
Probability:69.93%
% alignment Q: 42.1%
% alignment T: 22.0%")</f>
        <v>Tail fiber protein; fiber, virus, viral protein; 3.76A {unclassified Caudoviricetes}
Probability:69.93%
% alignment Q: 42.1%
% alignment T: 22.0%</v>
      </c>
      <c r="C17" s="6" t="str">
        <f ca="1">IFERROR(__xludf.DUMMYFUNCTION("""COMPUTED_VALUE"""),"Best and only hit was a tail fiber protien from unclassified Caudoviricetes; Prob: 69.93%; %Q: 42%; %T: 22%; function not apart of the alignment")</f>
        <v>Best and only hit was a tail fiber protien from unclassified Caudoviricetes; Prob: 69.93%; %Q: 42%; %T: 22%; function not apart of the alignment</v>
      </c>
      <c r="D17" s="6"/>
    </row>
    <row r="18" spans="1:4" ht="15.75" customHeight="1" x14ac:dyDescent="0.15">
      <c r="A18" s="5" t="s">
        <v>17</v>
      </c>
      <c r="B18" s="6" t="str">
        <f ca="1">IFERROR(__xludf.DUMMYFUNCTION("""COMPUTED_VALUE"""),"no")</f>
        <v>no</v>
      </c>
      <c r="C18" s="6" t="str">
        <f ca="1">IFERROR(__xludf.DUMMYFUNCTION("""COMPUTED_VALUE"""),"no conserved domain")</f>
        <v>no conserved domain</v>
      </c>
      <c r="D18" s="6"/>
    </row>
    <row r="19" spans="1:4" ht="15.75" customHeight="1" x14ac:dyDescent="0.15">
      <c r="A19" s="5" t="s">
        <v>18</v>
      </c>
      <c r="B19" s="6" t="str">
        <f ca="1">IFERROR(__xludf.DUMMYFUNCTION("""COMPUTED_VALUE"""),"no")</f>
        <v>no</v>
      </c>
      <c r="C19" s="6" t="str">
        <f ca="1">IFERROR(__xludf.DUMMYFUNCTION("""COMPUTED_VALUE"""),"not a membrane protien, most liekly outside the cell")</f>
        <v>not a membrane protien, most liekly outside the cell</v>
      </c>
      <c r="D19" s="6"/>
    </row>
    <row r="20" spans="1:4" ht="15.75" customHeight="1" x14ac:dyDescent="0.15">
      <c r="A20" s="5" t="s">
        <v>19</v>
      </c>
      <c r="B20" s="6" t="str">
        <f ca="1">IFERROR(__xludf.DUMMYFUNCTION("""COMPUTED_VALUE"""),"hypothetical protein, poor HHpred results phages DB blast shows unknown functions.")</f>
        <v>hypothetical protein, poor HHpred results phages DB blast shows unknown functions.</v>
      </c>
      <c r="C20" s="6" t="str">
        <f ca="1">IFERROR(__xludf.DUMMYFUNCTION("""COMPUTED_VALUE"""),"hypothetical protien: because all the evidence point towards it being a protien that helps with tail function, but its not considered a minor tail protien in the call functions list")</f>
        <v>hypothetical protien: because all the evidence point towards it being a protien that helps with tail function, but its not considered a minor tail protien in the call functions list</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IFERROR(__xludf.DUMMYFUNCTION("IMPORTRANGE(""https://docs.google.com/spreadsheets/d/1rjebY3ldoEXrRbLWoPXCIhvF_kMyOvJr_yst6T3o1Qk"", ""S31!B1:B22"")"),"Zachary Edwards")</f>
        <v>Zachary Edwards</v>
      </c>
      <c r="C1" s="11" t="str">
        <f ca="1">IFERROR(__xludf.DUMMYFUNCTION("IMPORTRANGE(""https://docs.google.com/spreadsheets/d/1NBZgc2wQWlGwpwt7AcCySCDz0bod7B0VKf0lrtlBP8Q"", ""S31!B1:B22"")"),"Jackson Root")</f>
        <v>Jackson Root</v>
      </c>
      <c r="D1" s="2" t="s">
        <v>0</v>
      </c>
    </row>
    <row r="2" spans="1:4" ht="15.75" customHeight="1" x14ac:dyDescent="0.15">
      <c r="A2" s="3" t="s">
        <v>1</v>
      </c>
      <c r="B2" s="4" t="str">
        <f ca="1">IFERROR(__xludf.DUMMYFUNCTION("""COMPUTED_VALUE"""),"DNAM Start:23146 - Stop: 23343 
PHAM Start:23146 - Stop: 23343 
FOR")</f>
        <v>DNAM Start:23146 - Stop: 23343 
PHAM Start:23146 - Stop: 23343 
FOR</v>
      </c>
      <c r="C2" s="4" t="str">
        <f ca="1">IFERROR(__xludf.DUMMYFUNCTION("""COMPUTED_VALUE"""),"Start/stop: 23146 - 23343   Forward")</f>
        <v>Start/stop: 23146 - 23343   Forward</v>
      </c>
      <c r="D2" s="4"/>
    </row>
    <row r="3" spans="1:4" ht="15.75" customHeight="1" x14ac:dyDescent="0.15">
      <c r="A3" s="5" t="s">
        <v>2</v>
      </c>
      <c r="B3" s="6" t="str">
        <f ca="1">IFERROR(__xludf.DUMMYFUNCTION("""COMPUTED_VALUE"""),"DNAM:30
PHAM:31")</f>
        <v>DNAM:30
PHAM:31</v>
      </c>
      <c r="C3" s="6" t="str">
        <f ca="1">IFERROR(__xludf.DUMMYFUNCTION("""COMPUTED_VALUE"""),"Pham: 31     DNA: 30")</f>
        <v>Pham: 31     DNA: 30</v>
      </c>
      <c r="D3" s="6"/>
    </row>
    <row r="4" spans="1:4" ht="15.75" customHeight="1" x14ac:dyDescent="0.15">
      <c r="A4" s="5" t="s">
        <v>3</v>
      </c>
      <c r="B4" s="6" t="str">
        <f ca="1">IFERROR(__xludf.DUMMYFUNCTION("""COMPUTED_VALUE"""),"220227 3/31/25")</f>
        <v>220227 3/31/25</v>
      </c>
      <c r="C4" s="6" t="str">
        <f ca="1">IFERROR(__xludf.DUMMYFUNCTION("""COMPUTED_VALUE"""),"pham 220227   04/07/2025")</f>
        <v>pham 220227   04/07/2025</v>
      </c>
      <c r="D4" s="6"/>
    </row>
    <row r="5" spans="1:4" ht="15.75" customHeight="1" x14ac:dyDescent="0.15">
      <c r="A5" s="5" t="s">
        <v>4</v>
      </c>
      <c r="B5" s="6" t="str">
        <f ca="1">IFERROR(__xludf.DUMMYFUNCTION("""COMPUTED_VALUE"""),"Nandita_31
")</f>
        <v xml:space="preserve">Nandita_31
</v>
      </c>
      <c r="C5" s="6" t="str">
        <f ca="1">IFERROR(__xludf.DUMMYFUNCTION("""COMPUTED_VALUE"""),"Nandita_31, Zaheer_31")</f>
        <v>Nandita_31, Zaheer_31</v>
      </c>
      <c r="D5" s="6"/>
    </row>
    <row r="6" spans="1:4" ht="15.75" customHeight="1" x14ac:dyDescent="0.15">
      <c r="A6" s="5" t="s">
        <v>5</v>
      </c>
      <c r="B6" s="6" t="str">
        <f ca="1">IFERROR(__xludf.DUMMYFUNCTION("""COMPUTED_VALUE"""),"Both agree on start")</f>
        <v>Both agree on start</v>
      </c>
      <c r="C6" s="6" t="str">
        <f ca="1">IFERROR(__xludf.DUMMYFUNCTION("""COMPUTED_VALUE"""),"Both call 23146")</f>
        <v>Both call 23146</v>
      </c>
      <c r="D6" s="6"/>
    </row>
    <row r="7" spans="1:4" ht="15.75" customHeight="1" x14ac:dyDescent="0.15">
      <c r="A7" s="5" t="s">
        <v>6</v>
      </c>
      <c r="B7" s="6" t="str">
        <f ca="1">IFERROR(__xludf.DUMMYFUNCTION("""COMPUTED_VALUE"""),"Most included")</f>
        <v>Most included</v>
      </c>
      <c r="C7" s="6" t="str">
        <f ca="1">IFERROR(__xludf.DUMMYFUNCTION("""COMPUTED_VALUE"""),"there is coding potential, all potential captured")</f>
        <v>there is coding potential, all potential captured</v>
      </c>
      <c r="D7" s="6"/>
    </row>
    <row r="8" spans="1:4" ht="15.75" customHeight="1" x14ac:dyDescent="0.15">
      <c r="A8" s="5" t="s">
        <v>7</v>
      </c>
      <c r="B8" s="6" t="str">
        <f ca="1">IFERROR(__xludf.DUMMYFUNCTION("""COMPUTED_VALUE"""),"Yes")</f>
        <v>Yes</v>
      </c>
      <c r="C8" s="6" t="str">
        <f ca="1">IFERROR(__xludf.DUMMYFUNCTION("""COMPUTED_VALUE"""),"This is the longest ORF")</f>
        <v>This is the longest ORF</v>
      </c>
      <c r="D8" s="6"/>
    </row>
    <row r="9" spans="1:4" ht="15.75" customHeight="1" x14ac:dyDescent="0.15">
      <c r="A9" s="5" t="s">
        <v>8</v>
      </c>
      <c r="B9" s="6" t="str">
        <f ca="1">IFERROR(__xludf.DUMMYFUNCTION("""COMPUTED_VALUE"""),"8 Nt Gap")</f>
        <v>8 Nt Gap</v>
      </c>
      <c r="C9" s="6" t="str">
        <f ca="1">IFERROR(__xludf.DUMMYFUNCTION("""COMPUTED_VALUE"""),"Gap with previous: 10 bp")</f>
        <v>Gap with previous: 10 bp</v>
      </c>
      <c r="D9" s="6"/>
    </row>
    <row r="10" spans="1:4" ht="15.75" customHeight="1" x14ac:dyDescent="0.15">
      <c r="A10" s="5" t="s">
        <v>9</v>
      </c>
      <c r="B10" s="6" t="str">
        <f ca="1">IFERROR(__xludf.DUMMYFUNCTION("""COMPUTED_VALUE"""),"Current 2.133 (23146) Best")</f>
        <v>Current 2.133 (23146) Best</v>
      </c>
      <c r="C10" s="6" t="str">
        <f ca="1">IFERROR(__xludf.DUMMYFUNCTION("""COMPUTED_VALUE"""),"Z-score: 2.133, this is the best score")</f>
        <v>Z-score: 2.133, this is the best score</v>
      </c>
      <c r="D10" s="6"/>
    </row>
    <row r="11" spans="1:4" ht="15.75" customHeight="1" x14ac:dyDescent="0.15">
      <c r="A11" s="5" t="s">
        <v>10</v>
      </c>
      <c r="B11" s="6" t="str">
        <f ca="1">IFERROR(__xludf.DUMMYFUNCTION("""COMPUTED_VALUE"""),"Nandita_31
%ID: 100%
E:9e-36
1:1")</f>
        <v>Nandita_31
%ID: 100%
E:9e-36
1:1</v>
      </c>
      <c r="C11" s="6" t="str">
        <f ca="1">IFERROR(__xludf.DUMMYFUNCTION("""COMPUTED_VALUE"""),"Best hits were Nandita and Gusanita % identity: ; E-val: 9.9e-36; Q: 1-65; T: 1-65")</f>
        <v>Best hits were Nandita and Gusanita % identity: ; E-val: 9.9e-36; Q: 1-65; T: 1-65</v>
      </c>
      <c r="D11" s="6"/>
    </row>
    <row r="12" spans="1:4" ht="15.75" customHeight="1" x14ac:dyDescent="0.15">
      <c r="A12" s="5" t="s">
        <v>11</v>
      </c>
      <c r="B12" s="6" t="str">
        <f ca="1">IFERROR(__xludf.DUMMYFUNCTION("""COMPUTED_VALUE"""),"15 of 15 call current start (all FF)")</f>
        <v>15 of 15 call current start (all FF)</v>
      </c>
      <c r="C12" s="6" t="str">
        <f ca="1">IFERROR(__xludf.DUMMYFUNCTION("""COMPUTED_VALUE"""),"start is conserved, called 100% when present")</f>
        <v>start is conserved, called 100% when present</v>
      </c>
      <c r="D12" s="6"/>
    </row>
    <row r="13" spans="1:4" ht="15.75" customHeight="1" x14ac:dyDescent="0.15">
      <c r="A13" s="5" t="s">
        <v>12</v>
      </c>
      <c r="B13" s="6" t="str">
        <f ca="1">IFERROR(__xludf.DUMMYFUNCTION("""COMPUTED_VALUE"""),"No reason to.")</f>
        <v>No reason to.</v>
      </c>
      <c r="C13" s="6" t="str">
        <f ca="1">IFERROR(__xludf.DUMMYFUNCTION("""COMPUTED_VALUE"""),"no start change")</f>
        <v>no start change</v>
      </c>
      <c r="D13" s="6"/>
    </row>
    <row r="14" spans="1:4" ht="15.75" customHeight="1" x14ac:dyDescent="0.15">
      <c r="A14" s="5" t="s">
        <v>13</v>
      </c>
      <c r="B14" s="6" t="str">
        <f ca="1">IFERROR(__xludf.DUMMYFUNCTION("""COMPUTED_VALUE"""),"Nandita_31
E: 4e-31")</f>
        <v>Nandita_31
E: 4e-31</v>
      </c>
      <c r="C14" s="6" t="str">
        <f ca="1">IFERROR(__xludf.DUMMYFUNCTION("""COMPUTED_VALUE"""),"Zaheer_31: 4e-31")</f>
        <v>Zaheer_31: 4e-31</v>
      </c>
      <c r="D14" s="6"/>
    </row>
    <row r="15" spans="1:4" ht="15.75" customHeight="1" x14ac:dyDescent="0.15">
      <c r="A15" s="5" t="s">
        <v>14</v>
      </c>
      <c r="B15" s="6" t="str">
        <f ca="1">IFERROR(__xludf.DUMMYFUNCTION("""COMPUTED_VALUE"""),"Unknown Function")</f>
        <v>Unknown Function</v>
      </c>
      <c r="C15" s="6" t="str">
        <f ca="1">IFERROR(__xludf.DUMMYFUNCTION("""COMPUTED_VALUE"""),"Zaheer: function unknown")</f>
        <v>Zaheer: function unknown</v>
      </c>
      <c r="D15" s="6"/>
    </row>
    <row r="16" spans="1:4" ht="15.75" customHeight="1" x14ac:dyDescent="0.15">
      <c r="A16" s="5" t="s">
        <v>15</v>
      </c>
      <c r="B16" s="6" t="str">
        <f ca="1">IFERROR(__xludf.DUMMYFUNCTION("""COMPUTED_VALUE"""),"Same genetic envornment as Nandita")</f>
        <v>Same genetic envornment as Nandita</v>
      </c>
      <c r="C16" s="6" t="str">
        <f ca="1">IFERROR(__xludf.DUMMYFUNCTION("""COMPUTED_VALUE"""),"found in the same genetic environment as Nandita_ 31")</f>
        <v>found in the same genetic environment as Nandita_ 31</v>
      </c>
      <c r="D16" s="6"/>
    </row>
    <row r="17" spans="1:4" ht="15.75" customHeight="1" x14ac:dyDescent="0.15">
      <c r="A17" s="5" t="s">
        <v>16</v>
      </c>
      <c r="B17" s="6" t="str">
        <f ca="1">IFERROR(__xludf.DUMMYFUNCTION("""COMPUTED_VALUE"""),"Nothing of reasonable compatibility")</f>
        <v>Nothing of reasonable compatibility</v>
      </c>
      <c r="C17" s="6" t="str">
        <f ca="1">IFERROR(__xludf.DUMMYFUNCTION("""COMPUTED_VALUE"""),"best and only hit was a Arginine dihydrolase (note: is possibly a signal protien/peptide?); Prob: 8.46%; %Q: 29%; %T: 8.9%; function not in alignement")</f>
        <v>best and only hit was a Arginine dihydrolase (note: is possibly a signal protien/peptide?); Prob: 8.46%; %Q: 29%; %T: 8.9%; function not in alignement</v>
      </c>
      <c r="D17" s="6"/>
    </row>
    <row r="18" spans="1:4" ht="15.75" customHeight="1" x14ac:dyDescent="0.15">
      <c r="A18" s="5" t="s">
        <v>17</v>
      </c>
      <c r="B18" s="6" t="str">
        <f ca="1">IFERROR(__xludf.DUMMYFUNCTION("""COMPUTED_VALUE"""),"DUF")</f>
        <v>DUF</v>
      </c>
      <c r="C18" s="6" t="str">
        <f ca="1">IFERROR(__xludf.DUMMYFUNCTION("""COMPUTED_VALUE"""),"no conserved domain")</f>
        <v>no conserved domain</v>
      </c>
      <c r="D18" s="6"/>
    </row>
    <row r="19" spans="1:4" ht="15.75" customHeight="1" x14ac:dyDescent="0.15">
      <c r="A19" s="5" t="s">
        <v>18</v>
      </c>
      <c r="B19" s="6" t="str">
        <f ca="1">IFERROR(__xludf.DUMMYFUNCTION("""COMPUTED_VALUE"""),"##gff-version 3
# Unnamed Length: 65
# Unnamed Number of predicted TMRs: 0
Unnamed        signal        1        31                      
Unnamed        outside        32        65")</f>
        <v>##gff-version 3
# Unnamed Length: 65
# Unnamed Number of predicted TMRs: 0
Unnamed        signal        1        31                      
Unnamed        outside        32        65</v>
      </c>
      <c r="C19" s="6" t="str">
        <f ca="1">IFERROR(__xludf.DUMMYFUNCTION("""COMPUTED_VALUE"""),"is a membrane protein")</f>
        <v>is a membrane protein</v>
      </c>
      <c r="D19" s="6"/>
    </row>
    <row r="20" spans="1:4" ht="15.75" customHeight="1" x14ac:dyDescent="0.15">
      <c r="A20" s="5" t="s">
        <v>19</v>
      </c>
      <c r="B20" s="6" t="str">
        <f ca="1">IFERROR(__xludf.DUMMYFUNCTION("""COMPUTED_VALUE"""),"Hypotehtical Protein")</f>
        <v>Hypotehtical Protein</v>
      </c>
      <c r="C20" s="6" t="str">
        <f ca="1">IFERROR(__xludf.DUMMYFUNCTION("""COMPUTED_VALUE"""),"hypothetical protien because the hhpred hit was a possible signaling peptide chain, not a dihydrolase reductase like in the approved functions list")</f>
        <v>hypothetical protien because the hhpred hit was a possible signaling peptide chain, not a dihydrolase reductase like in the approved functions list</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IFERROR(__xludf.DUMMYFUNCTION("IMPORTRANGE(""https://docs.google.com/spreadsheets/d/1u6ZP_AyBJKGOZ-m1erEe8ylMC_0IEsUBTvQJRRPiF5g"", ""S32!B1:B22"")"),"Erin Loudermilk")</f>
        <v>Erin Loudermilk</v>
      </c>
      <c r="C1" s="11" t="str">
        <f ca="1">IFERROR(__xludf.DUMMYFUNCTION("IMPORTRANGE(""https://docs.google.com/spreadsheets/d/19cQ7zWvMqLBhgqC8nl5nOal4YuMd-mbE3bz8Irjnl7E"", ""S32!B1:B22"")"),"Jake Stafford")</f>
        <v>Jake Stafford</v>
      </c>
      <c r="D1" s="2" t="s">
        <v>0</v>
      </c>
    </row>
    <row r="2" spans="1:4" ht="15.75" customHeight="1" x14ac:dyDescent="0.15">
      <c r="A2" s="3" t="s">
        <v>1</v>
      </c>
      <c r="B2" s="4" t="str">
        <f ca="1">IFERROR(__xludf.DUMMYFUNCTION("""COMPUTED_VALUE"""),"23343 - 24596 FOR")</f>
        <v>23343 - 24596 FOR</v>
      </c>
      <c r="C2" s="4" t="str">
        <f ca="1">IFERROR(__xludf.DUMMYFUNCTION("""COMPUTED_VALUE"""),"Start:23343 Stop:24596 FOR")</f>
        <v>Start:23343 Stop:24596 FOR</v>
      </c>
      <c r="D2" s="4"/>
    </row>
    <row r="3" spans="1:4" ht="15.75" customHeight="1" x14ac:dyDescent="0.15">
      <c r="A3" s="5" t="s">
        <v>2</v>
      </c>
      <c r="B3" s="6" t="str">
        <f ca="1">IFERROR(__xludf.DUMMYFUNCTION("""COMPUTED_VALUE"""),"DNA: 31 Pham: 32")</f>
        <v>DNA: 31 Pham: 32</v>
      </c>
      <c r="C3" s="6" t="str">
        <f ca="1">IFERROR(__xludf.DUMMYFUNCTION("""COMPUTED_VALUE"""),"32 in PHAM, 31 in DNAM")</f>
        <v>32 in PHAM, 31 in DNAM</v>
      </c>
      <c r="D3" s="6"/>
    </row>
    <row r="4" spans="1:4" ht="15.75" customHeight="1" x14ac:dyDescent="0.15">
      <c r="A4" s="5" t="s">
        <v>3</v>
      </c>
      <c r="B4" s="6" t="str">
        <f ca="1">IFERROR(__xludf.DUMMYFUNCTION("""COMPUTED_VALUE"""),"219808 (4/7/25)")</f>
        <v>219808 (4/7/25)</v>
      </c>
      <c r="C4" s="6" t="str">
        <f ca="1">IFERROR(__xludf.DUMMYFUNCTION("""COMPUTED_VALUE"""),"219808 4/7/25")</f>
        <v>219808 4/7/25</v>
      </c>
      <c r="D4" s="6"/>
    </row>
    <row r="5" spans="1:4" ht="15.75" customHeight="1" x14ac:dyDescent="0.15">
      <c r="A5" s="5" t="s">
        <v>4</v>
      </c>
      <c r="B5" s="6" t="str">
        <f ca="1">IFERROR(__xludf.DUMMYFUNCTION("""COMPUTED_VALUE"""),"Nandita_32, GoodLuckBabe_32")</f>
        <v>Nandita_32, GoodLuckBabe_32</v>
      </c>
      <c r="C5" s="6" t="str">
        <f ca="1">IFERROR(__xludf.DUMMYFUNCTION("""COMPUTED_VALUE"""),"Nandita_32, Ryan_32")</f>
        <v>Nandita_32, Ryan_32</v>
      </c>
      <c r="D5" s="6"/>
    </row>
    <row r="6" spans="1:4" ht="15.75" customHeight="1" x14ac:dyDescent="0.15">
      <c r="A6" s="5" t="s">
        <v>5</v>
      </c>
      <c r="B6" s="6" t="str">
        <f ca="1">IFERROR(__xludf.DUMMYFUNCTION("""COMPUTED_VALUE"""),"Both call start @ 23343")</f>
        <v>Both call start @ 23343</v>
      </c>
      <c r="C6" s="6" t="str">
        <f ca="1">IFERROR(__xludf.DUMMYFUNCTION("""COMPUTED_VALUE"""),"both called same start")</f>
        <v>both called same start</v>
      </c>
      <c r="D6" s="6"/>
    </row>
    <row r="7" spans="1:4" ht="15.75" customHeight="1" x14ac:dyDescent="0.15">
      <c r="A7" s="5" t="s">
        <v>6</v>
      </c>
      <c r="B7" s="6" t="str">
        <f ca="1">IFERROR(__xludf.DUMMYFUNCTION("""COMPUTED_VALUE"""),"Gene has good coding potential, including start. ")</f>
        <v xml:space="preserve">Gene has good coding potential, including start. </v>
      </c>
      <c r="C7" s="6" t="str">
        <f ca="1">IFERROR(__xludf.DUMMYFUNCTION("""COMPUTED_VALUE"""),"coding potential, includes all")</f>
        <v>coding potential, includes all</v>
      </c>
      <c r="D7" s="6"/>
    </row>
    <row r="8" spans="1:4" ht="15.75" customHeight="1" x14ac:dyDescent="0.15">
      <c r="A8" s="5" t="s">
        <v>7</v>
      </c>
      <c r="B8" s="6" t="str">
        <f ca="1">IFERROR(__xludf.DUMMYFUNCTION("""COMPUTED_VALUE"""),"Yes")</f>
        <v>Yes</v>
      </c>
      <c r="C8" s="6" t="str">
        <f ca="1">IFERROR(__xludf.DUMMYFUNCTION("""COMPUTED_VALUE"""),"longest ORF")</f>
        <v>longest ORF</v>
      </c>
      <c r="D8" s="6"/>
    </row>
    <row r="9" spans="1:4" ht="15.75" customHeight="1" x14ac:dyDescent="0.15">
      <c r="A9" s="5" t="s">
        <v>8</v>
      </c>
      <c r="B9" s="6" t="str">
        <f ca="1">IFERROR(__xludf.DUMMYFUNCTION("""COMPUTED_VALUE"""),"1 nucleotide overlap")</f>
        <v>1 nucleotide overlap</v>
      </c>
      <c r="C9" s="6" t="str">
        <f ca="1">IFERROR(__xludf.DUMMYFUNCTION("""COMPUTED_VALUE"""),"overlap of 2 nucleotides with previous gene")</f>
        <v>overlap of 2 nucleotides with previous gene</v>
      </c>
      <c r="D9" s="6"/>
    </row>
    <row r="10" spans="1:4" ht="15.75" customHeight="1" x14ac:dyDescent="0.15">
      <c r="A10" s="5" t="s">
        <v>9</v>
      </c>
      <c r="B10" s="6" t="str">
        <f ca="1">IFERROR(__xludf.DUMMYFUNCTION("""COMPUTED_VALUE"""),"1.922, best score")</f>
        <v>1.922, best score</v>
      </c>
      <c r="C10" s="6" t="str">
        <f ca="1">IFERROR(__xludf.DUMMYFUNCTION("""COMPUTED_VALUE"""),"z-score: 1.935, f-score: -5.092 next best score would create large overlap")</f>
        <v>z-score: 1.935, f-score: -5.092 next best score would create large overlap</v>
      </c>
      <c r="D10" s="6"/>
    </row>
    <row r="11" spans="1:4" ht="15.75" customHeight="1" x14ac:dyDescent="0.15">
      <c r="A11" s="5" t="s">
        <v>10</v>
      </c>
      <c r="B11" s="6" t="str">
        <f ca="1">IFERROR(__xludf.DUMMYFUNCTION("""COMPUTED_VALUE"""),"Nandita_32, e=9.49501e-36, q1:65, s1:65")</f>
        <v>Nandita_32, e=9.49501e-36, q1:65, s1:65</v>
      </c>
      <c r="C11" s="6" t="str">
        <f ca="1">IFERROR(__xludf.DUMMYFUNCTION("""COMPUTED_VALUE"""),"Bridgette_30 100% identity, eval:0. ")</f>
        <v xml:space="preserve">Bridgette_30 100% identity, eval:0. </v>
      </c>
      <c r="D11" s="6"/>
    </row>
    <row r="12" spans="1:4" ht="15.75" customHeight="1" x14ac:dyDescent="0.15">
      <c r="A12" s="5" t="s">
        <v>11</v>
      </c>
      <c r="B12" s="6" t="str">
        <f ca="1">IFERROR(__xludf.DUMMYFUNCTION("""COMPUTED_VALUE"""),"Conserved in all members, called 100% of the time")</f>
        <v>Conserved in all members, called 100% of the time</v>
      </c>
      <c r="C12" s="6" t="str">
        <f ca="1">IFERROR(__xludf.DUMMYFUNCTION("""COMPUTED_VALUE"""),"Found in 45 of 52 genes, called 100% of the time when present")</f>
        <v>Found in 45 of 52 genes, called 100% of the time when present</v>
      </c>
      <c r="D12" s="6"/>
    </row>
    <row r="13" spans="1:4" ht="15.75" customHeight="1" x14ac:dyDescent="0.15">
      <c r="A13" s="5" t="s">
        <v>12</v>
      </c>
      <c r="B13" s="6" t="str">
        <f ca="1">IFERROR(__xludf.DUMMYFUNCTION("""COMPUTED_VALUE"""),"No")</f>
        <v>No</v>
      </c>
      <c r="C13" s="6" t="str">
        <f ca="1">IFERROR(__xludf.DUMMYFUNCTION("""COMPUTED_VALUE"""),"Start not changed, good coding potential, longest orf, start called 100% of the time when present")</f>
        <v>Start not changed, good coding potential, longest orf, start called 100% of the time when present</v>
      </c>
      <c r="D13" s="6"/>
    </row>
    <row r="14" spans="1:4" ht="15.75" customHeight="1" x14ac:dyDescent="0.15">
      <c r="A14" s="5" t="s">
        <v>13</v>
      </c>
      <c r="B14" s="6" t="str">
        <f ca="1">IFERROR(__xludf.DUMMYFUNCTION("""COMPUTED_VALUE"""),"Nandita_32, 4e-31")</f>
        <v>Nandita_32, 4e-31</v>
      </c>
      <c r="C14" s="6" t="str">
        <f ca="1">IFERROR(__xludf.DUMMYFUNCTION("""COMPUTED_VALUE"""),"Karkharias_30 E=0, Judy_31 E=0")</f>
        <v>Karkharias_30 E=0, Judy_31 E=0</v>
      </c>
      <c r="D14" s="6"/>
    </row>
    <row r="15" spans="1:4" ht="15.75" customHeight="1" x14ac:dyDescent="0.15">
      <c r="A15" s="5" t="s">
        <v>14</v>
      </c>
      <c r="B15" s="6" t="str">
        <f ca="1">IFERROR(__xludf.DUMMYFUNCTION("""COMPUTED_VALUE"""),"unknown functiom")</f>
        <v>unknown functiom</v>
      </c>
      <c r="C15" s="6" t="str">
        <f ca="1">IFERROR(__xludf.DUMMYFUNCTION("""COMPUTED_VALUE"""),"Karkharias_30 Esterase, Judy_31 Hydrolase")</f>
        <v>Karkharias_30 Esterase, Judy_31 Hydrolase</v>
      </c>
      <c r="D15" s="6"/>
    </row>
    <row r="16" spans="1:4" ht="15.75" customHeight="1" x14ac:dyDescent="0.15">
      <c r="A16" s="5" t="s">
        <v>15</v>
      </c>
      <c r="B16" s="6" t="str">
        <f ca="1">IFERROR(__xludf.DUMMYFUNCTION("""COMPUTED_VALUE"""),"Found in same environment in Nandita")</f>
        <v>Found in same environment in Nandita</v>
      </c>
      <c r="C16" s="6" t="str">
        <f ca="1">IFERROR(__xludf.DUMMYFUNCTION("""COMPUTED_VALUE"""),"Yes, adjacent in GoodLuckBabe 25-36")</f>
        <v>Yes, adjacent in GoodLuckBabe 25-36</v>
      </c>
      <c r="D16" s="6"/>
    </row>
    <row r="17" spans="1:4" ht="15.75" customHeight="1" x14ac:dyDescent="0.15">
      <c r="A17" s="5" t="s">
        <v>16</v>
      </c>
      <c r="B17" s="6" t="str">
        <f ca="1">IFERROR(__xludf.DUMMYFUNCTION("""COMPUTED_VALUE"""),"8GKD_C	SGNH hydrolase-type esterase domain-containing protein: 99.97% probability, 100% Q, 98.88% T")</f>
        <v>8GKD_C	SGNH hydrolase-type esterase domain-containing protein: 99.97% probability, 100% Q, 98.88% T</v>
      </c>
      <c r="C17" s="6" t="str">
        <f ca="1">IFERROR(__xludf.DUMMYFUNCTION("""COMPUTED_VALUE"""),"SGNH hydrolase-type esterase domain-containing protein; Peptidoglycan O-acetylesterase, SGNH hydrolase, CBM35, product b. 99.97% probability, 74.58%allq, 86.87% allt. functional domain is within the target part of the alignment")</f>
        <v>SGNH hydrolase-type esterase domain-containing protein; Peptidoglycan O-acetylesterase, SGNH hydrolase, CBM35, product b. 99.97% probability, 74.58%allq, 86.87% allt. functional domain is within the target part of the alignment</v>
      </c>
      <c r="D17" s="6"/>
    </row>
    <row r="18" spans="1:4" ht="15.75" customHeight="1" x14ac:dyDescent="0.15">
      <c r="A18" s="5" t="s">
        <v>17</v>
      </c>
      <c r="B18" s="6" t="str">
        <f ca="1">IFERROR(__xludf.DUMMYFUNCTION("""COMPUTED_VALUE"""),"Rhamnogalacturan_acety, SGNH_hydrolase")</f>
        <v>Rhamnogalacturan_acety, SGNH_hydrolase</v>
      </c>
      <c r="C18" s="6" t="str">
        <f ca="1">IFERROR(__xludf.DUMMYFUNCTION("""COMPUTED_VALUE"""),"Lysophospholipase_L1_like
SGNH_hydrolase_peri1
SGNH_hydrolase_like_2
Mtd_N
Rhamnogalacturan_acety...
SGNH_hydrolase
Lipase_GDSL_2
TesA")</f>
        <v>Lysophospholipase_L1_like
SGNH_hydrolase_peri1
SGNH_hydrolase_like_2
Mtd_N
Rhamnogalacturan_acety...
SGNH_hydrolase
Lipase_GDSL_2
TesA</v>
      </c>
      <c r="D18" s="6"/>
    </row>
    <row r="19" spans="1:4" ht="15.75" customHeight="1" x14ac:dyDescent="0.15">
      <c r="A19" s="5" t="s">
        <v>18</v>
      </c>
      <c r="B19" s="6" t="str">
        <f ca="1">IFERROR(__xludf.DUMMYFUNCTION("""COMPUTED_VALUE"""),"None")</f>
        <v>None</v>
      </c>
      <c r="C19" s="6" t="str">
        <f ca="1">IFERROR(__xludf.DUMMYFUNCTION("""COMPUTED_VALUE"""),"None")</f>
        <v>None</v>
      </c>
      <c r="D19" s="6"/>
    </row>
    <row r="20" spans="1:4" ht="15.75" customHeight="1" x14ac:dyDescent="0.15">
      <c r="A20" s="5" t="s">
        <v>19</v>
      </c>
      <c r="B20" s="6" t="str">
        <f ca="1">IFERROR(__xludf.DUMMYFUNCTION("""COMPUTED_VALUE"""),"Hypothetical protein")</f>
        <v>Hypothetical protein</v>
      </c>
      <c r="C20" s="6" t="str">
        <f ca="1">IFERROR(__xludf.DUMMYFUNCTION("""COMPUTED_VALUE"""),"I think its a Hydrolase because of this gene's conserved domain and hits on HHpred ")</f>
        <v xml:space="preserve">I think its a Hydrolase because of this gene's conserved domain and hits on HHpred </v>
      </c>
      <c r="D20" s="6"/>
    </row>
    <row r="21" spans="1:4" x14ac:dyDescent="0.2">
      <c r="A21" s="7"/>
      <c r="B21" s="8"/>
      <c r="C21" s="8"/>
      <c r="D21" s="8"/>
    </row>
    <row r="22" spans="1:4" ht="15.75" customHeight="1" x14ac:dyDescent="0.15">
      <c r="A22" s="9" t="s">
        <v>20</v>
      </c>
      <c r="B22" s="8"/>
      <c r="C22" s="8" t="str">
        <f ca="1">IFERROR(__xludf.DUMMYFUNCTION("""COMPUTED_VALUE"""),"Esterase may be a better designation")</f>
        <v>Esterase may be a better designation</v>
      </c>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IFERROR(__xludf.DUMMYFUNCTION("IMPORTRANGE(""https://docs.google.com/spreadsheets/d/12D2a8_yN9-M20Swe1qSSTzsOdHwl9WpMkqw3nyC2tRc"", ""S33!B1:B22"")"),"Noelle Labadens")</f>
        <v>Noelle Labadens</v>
      </c>
      <c r="C1" s="11" t="str">
        <f ca="1">IFERROR(__xludf.DUMMYFUNCTION("IMPORTRANGE(""https://docs.google.com/spreadsheets/d/1NBZgc2wQWlGwpwt7AcCySCDz0bod7B0VKf0lrtlBP8Q"", ""S33!B1:B22"")"),"Jackson Root")</f>
        <v>Jackson Root</v>
      </c>
      <c r="D1" s="2" t="s">
        <v>0</v>
      </c>
    </row>
    <row r="2" spans="1:4" ht="15.75" customHeight="1" x14ac:dyDescent="0.15">
      <c r="A2" s="3" t="s">
        <v>1</v>
      </c>
      <c r="B2" s="4" t="str">
        <f ca="1">IFERROR(__xludf.DUMMYFUNCTION("""COMPUTED_VALUE"""),"24793-24593 REV")</f>
        <v>24793-24593 REV</v>
      </c>
      <c r="C2" s="4" t="str">
        <f ca="1">IFERROR(__xludf.DUMMYFUNCTION("""COMPUTED_VALUE"""),"start: 24793  Stop: 24593   Revrerse")</f>
        <v>start: 24793  Stop: 24593   Revrerse</v>
      </c>
      <c r="D2" s="4"/>
    </row>
    <row r="3" spans="1:4" ht="15.75" customHeight="1" x14ac:dyDescent="0.15">
      <c r="A3" s="5" t="s">
        <v>2</v>
      </c>
      <c r="B3" s="6" t="str">
        <f ca="1">IFERROR(__xludf.DUMMYFUNCTION("""COMPUTED_VALUE"""),"DNA Master: 32; Phamerator: 33")</f>
        <v>DNA Master: 32; Phamerator: 33</v>
      </c>
      <c r="C3" s="6" t="str">
        <f ca="1">IFERROR(__xludf.DUMMYFUNCTION("""COMPUTED_VALUE"""),"Pham: 33   Dna: 32")</f>
        <v>Pham: 33   Dna: 32</v>
      </c>
      <c r="D3" s="6"/>
    </row>
    <row r="4" spans="1:4" ht="15.75" customHeight="1" x14ac:dyDescent="0.15">
      <c r="A4" s="5" t="s">
        <v>3</v>
      </c>
      <c r="B4" s="6" t="str">
        <f ca="1">IFERROR(__xludf.DUMMYFUNCTION("""COMPUTED_VALUE"""),"pham 4363")</f>
        <v>pham 4363</v>
      </c>
      <c r="C4" s="6" t="str">
        <f ca="1">IFERROR(__xludf.DUMMYFUNCTION("""COMPUTED_VALUE"""),"pham 4363   04/07/2025")</f>
        <v>pham 4363   04/07/2025</v>
      </c>
      <c r="D4" s="6"/>
    </row>
    <row r="5" spans="1:4" ht="15.75" customHeight="1" x14ac:dyDescent="0.15">
      <c r="A5" s="5" t="s">
        <v>4</v>
      </c>
      <c r="B5" s="6" t="str">
        <f ca="1">IFERROR(__xludf.DUMMYFUNCTION("""COMPUTED_VALUE"""),"Bauer_29, BlackSpider_28")</f>
        <v>Bauer_29, BlackSpider_28</v>
      </c>
      <c r="C5" s="6" t="str">
        <f ca="1">IFERROR(__xludf.DUMMYFUNCTION("""COMPUTED_VALUE"""),"Nandita_33 and Zaheer_33")</f>
        <v>Nandita_33 and Zaheer_33</v>
      </c>
      <c r="D5" s="6"/>
    </row>
    <row r="6" spans="1:4" ht="15.75" customHeight="1" x14ac:dyDescent="0.15">
      <c r="A6" s="5" t="s">
        <v>5</v>
      </c>
      <c r="B6" s="6" t="str">
        <f ca="1">IFERROR(__xludf.DUMMYFUNCTION("""COMPUTED_VALUE"""),"both")</f>
        <v>both</v>
      </c>
      <c r="C6" s="6" t="str">
        <f ca="1">IFERROR(__xludf.DUMMYFUNCTION("""COMPUTED_VALUE"""),"Both call 24793")</f>
        <v>Both call 24793</v>
      </c>
      <c r="D6" s="6"/>
    </row>
    <row r="7" spans="1:4" ht="15.75" customHeight="1" x14ac:dyDescent="0.15">
      <c r="A7" s="5" t="s">
        <v>6</v>
      </c>
      <c r="B7" s="6" t="str">
        <f ca="1">IFERROR(__xludf.DUMMYFUNCTION("""COMPUTED_VALUE"""),"decent potentisl, captures all but a bit of the beginning")</f>
        <v>decent potentisl, captures all but a bit of the beginning</v>
      </c>
      <c r="C7" s="6" t="str">
        <f ca="1">IFERROR(__xludf.DUMMYFUNCTION("""COMPUTED_VALUE"""),"Yes theres coding potential, all potential captured")</f>
        <v>Yes theres coding potential, all potential captured</v>
      </c>
      <c r="D7" s="6"/>
    </row>
    <row r="8" spans="1:4" ht="15.75" customHeight="1" x14ac:dyDescent="0.15">
      <c r="A8" s="5" t="s">
        <v>7</v>
      </c>
      <c r="B8" s="6" t="str">
        <f ca="1">IFERROR(__xludf.DUMMYFUNCTION("""COMPUTED_VALUE"""),"yes")</f>
        <v>yes</v>
      </c>
      <c r="C8" s="6" t="str">
        <f ca="1">IFERROR(__xludf.DUMMYFUNCTION("""COMPUTED_VALUE"""),"Yes this is the longest ORF")</f>
        <v>Yes this is the longest ORF</v>
      </c>
      <c r="D8" s="6"/>
    </row>
    <row r="9" spans="1:4" ht="15.75" customHeight="1" x14ac:dyDescent="0.15">
      <c r="A9" s="5" t="s">
        <v>8</v>
      </c>
      <c r="B9" s="6" t="str">
        <f ca="1">IFERROR(__xludf.DUMMYFUNCTION("""COMPUTED_VALUE"""),"3 nt overlap")</f>
        <v>3 nt overlap</v>
      </c>
      <c r="C9" s="6" t="str">
        <f ca="1">IFERROR(__xludf.DUMMYFUNCTION("""COMPUTED_VALUE"""),"Overlap with next: 3 bp")</f>
        <v>Overlap with next: 3 bp</v>
      </c>
      <c r="D9" s="6"/>
    </row>
    <row r="10" spans="1:4" ht="15.75" customHeight="1" x14ac:dyDescent="0.15">
      <c r="A10" s="5" t="s">
        <v>9</v>
      </c>
      <c r="B10" s="6" t="str">
        <f ca="1">IFERROR(__xludf.DUMMYFUNCTION("""COMPUTED_VALUE"""),"z score: 1.897. all other scores are worse")</f>
        <v>z score: 1.897. all other scores are worse</v>
      </c>
      <c r="C10" s="6" t="str">
        <f ca="1">IFERROR(__xludf.DUMMYFUNCTION("""COMPUTED_VALUE"""),"Z-score: 1.897")</f>
        <v>Z-score: 1.897</v>
      </c>
      <c r="D10" s="6"/>
    </row>
    <row r="11" spans="1:4" ht="15.75" customHeight="1" x14ac:dyDescent="0.15">
      <c r="A11" s="5" t="s">
        <v>10</v>
      </c>
      <c r="B11" s="6" t="str">
        <f ca="1">IFERROR(__xludf.DUMMYFUNCTION("""COMPUTED_VALUE"""),"a lot of great hits. Zaheer_33, 100%, 2e-32, q:1 s:1; YoungHarleezy_33, 100%, 2e-32, q:1 s:1")</f>
        <v>a lot of great hits. Zaheer_33, 100%, 2e-32, q:1 s:1; YoungHarleezy_33, 100%, 2e-32, q:1 s:1</v>
      </c>
      <c r="C11" s="6" t="str">
        <f ca="1">IFERROR(__xludf.DUMMYFUNCTION("""COMPUTED_VALUE"""),"best hit was phage Bridgette, although it showed an XLM error/range error; % identity: ; E--val: 1.6e-36; Q: 1-66; T: 1-66")</f>
        <v>best hit was phage Bridgette, although it showed an XLM error/range error; % identity: ; E--val: 1.6e-36; Q: 1-66; T: 1-66</v>
      </c>
      <c r="D11" s="6"/>
    </row>
    <row r="12" spans="1:4" ht="15.75" customHeight="1" x14ac:dyDescent="0.15">
      <c r="A12" s="5" t="s">
        <v>11</v>
      </c>
      <c r="B12" s="6" t="str">
        <f ca="1">IFERROR(__xludf.DUMMYFUNCTION("""COMPUTED_VALUE"""),"yes, 97.7%. this is the most annotated start.")</f>
        <v>yes, 97.7%. this is the most annotated start.</v>
      </c>
      <c r="C12" s="6" t="str">
        <f ca="1">IFERROR(__xludf.DUMMYFUNCTION("""COMPUTED_VALUE"""),"start is conserved, called 97.3% when present")</f>
        <v>start is conserved, called 97.3% when present</v>
      </c>
      <c r="D12" s="6"/>
    </row>
    <row r="13" spans="1:4" ht="15.75" customHeight="1" x14ac:dyDescent="0.15">
      <c r="A13" s="5" t="s">
        <v>12</v>
      </c>
      <c r="B13" s="6" t="str">
        <f ca="1">IFERROR(__xludf.DUMMYFUNCTION("""COMPUTED_VALUE"""),"no. decent oding potential, moving the start forward creats a larger overlap and their z scores are worse. this start is conserved in all pham and is the most annotated start.")</f>
        <v>no. decent oding potential, moving the start forward creats a larger overlap and their z scores are worse. this start is conserved in all pham and is the most annotated start.</v>
      </c>
      <c r="C13" s="6" t="str">
        <f ca="1">IFERROR(__xludf.DUMMYFUNCTION("""COMPUTED_VALUE"""),"no start change")</f>
        <v>no start change</v>
      </c>
      <c r="D13" s="6"/>
    </row>
    <row r="14" spans="1:4" ht="15.75" customHeight="1" x14ac:dyDescent="0.15">
      <c r="A14" s="5" t="s">
        <v>13</v>
      </c>
      <c r="B14" s="6" t="str">
        <f ca="1">IFERROR(__xludf.DUMMYFUNCTION("""COMPUTED_VALUE"""),"Zaheer_33, 2e-32; YoungHarleezy_33, 2e-32")</f>
        <v>Zaheer_33, 2e-32; YoungHarleezy_33, 2e-32</v>
      </c>
      <c r="C14" s="6" t="str">
        <f ca="1">IFERROR(__xludf.DUMMYFUNCTION("""COMPUTED_VALUE"""),"Zaheer_33: 2e-32")</f>
        <v>Zaheer_33: 2e-32</v>
      </c>
      <c r="D14" s="6"/>
    </row>
    <row r="15" spans="1:4" ht="15.75" customHeight="1" x14ac:dyDescent="0.15">
      <c r="A15" s="5" t="s">
        <v>14</v>
      </c>
      <c r="B15" s="6" t="str">
        <f ca="1">IFERROR(__xludf.DUMMYFUNCTION("""COMPUTED_VALUE"""),"Function Unknown - both")</f>
        <v>Function Unknown - both</v>
      </c>
      <c r="C15" s="6" t="str">
        <f ca="1">IFERROR(__xludf.DUMMYFUNCTION("""COMPUTED_VALUE"""),"Zaheer: function unknown")</f>
        <v>Zaheer: function unknown</v>
      </c>
      <c r="D15" s="6"/>
    </row>
    <row r="16" spans="1:4" ht="15.75" customHeight="1" x14ac:dyDescent="0.15">
      <c r="A16" s="5" t="s">
        <v>15</v>
      </c>
      <c r="B16" s="6" t="str">
        <f ca="1">IFERROR(__xludf.DUMMYFUNCTION("""COMPUTED_VALUE"""),"good synteny, until two genes out to the left these genes are to be expected")</f>
        <v>good synteny, until two genes out to the left these genes are to be expected</v>
      </c>
      <c r="C16" s="6" t="str">
        <f ca="1">IFERROR(__xludf.DUMMYFUNCTION("""COMPUTED_VALUE"""),"Found in the same genetic environment as Nandita_ 33")</f>
        <v>Found in the same genetic environment as Nandita_ 33</v>
      </c>
      <c r="D16" s="6"/>
    </row>
    <row r="17" spans="1:4" ht="15.75" customHeight="1" x14ac:dyDescent="0.15">
      <c r="A17" s="5" t="s">
        <v>16</v>
      </c>
      <c r="B17" s="6" t="str">
        <f ca="1">IFERROR(__xludf.DUMMYFUNCTION("""COMPUTED_VALUE"""),"all scores below 90% match, but indicate unknown functions either way")</f>
        <v>all scores below 90% match, but indicate unknown functions either way</v>
      </c>
      <c r="C17" s="6" t="str">
        <f ca="1">IFERROR(__xludf.DUMMYFUNCTION("""COMPUTED_VALUE"""),"Most hits had an unknown function; Prob: 87.21%; %Q: 100%; %T: 86.8%; function not part of alignment")</f>
        <v>Most hits had an unknown function; Prob: 87.21%; %Q: 100%; %T: 86.8%; function not part of alignment</v>
      </c>
      <c r="D17" s="6"/>
    </row>
    <row r="18" spans="1:4" ht="15.75" customHeight="1" x14ac:dyDescent="0.15">
      <c r="A18" s="5" t="s">
        <v>17</v>
      </c>
      <c r="B18" s="6" t="str">
        <f ca="1">IFERROR(__xludf.DUMMYFUNCTION("""COMPUTED_VALUE"""),"none")</f>
        <v>none</v>
      </c>
      <c r="C18" s="6" t="str">
        <f ca="1">IFERROR(__xludf.DUMMYFUNCTION("""COMPUTED_VALUE"""),"no conserved domain (note: there was only one hit: membrane protien from Arthrobacter phage Bridgette)")</f>
        <v>no conserved domain (note: there was only one hit: membrane protien from Arthrobacter phage Bridgette)</v>
      </c>
      <c r="D18" s="6"/>
    </row>
    <row r="19" spans="1:4" ht="15.75" customHeight="1" x14ac:dyDescent="0.15">
      <c r="A19" s="5" t="s">
        <v>18</v>
      </c>
      <c r="B19" s="6" t="str">
        <f ca="1">IFERROR(__xludf.DUMMYFUNCTION("""COMPUTED_VALUE"""),"2 domain matches")</f>
        <v>2 domain matches</v>
      </c>
      <c r="C19" s="6" t="str">
        <f ca="1">IFERROR(__xludf.DUMMYFUNCTION("""COMPUTED_VALUE"""),"Is a membrane protein")</f>
        <v>Is a membrane protein</v>
      </c>
      <c r="D19" s="6"/>
    </row>
    <row r="20" spans="1:4" ht="15.75" customHeight="1" x14ac:dyDescent="0.15">
      <c r="A20" s="5" t="s">
        <v>19</v>
      </c>
      <c r="B20" s="6" t="str">
        <f ca="1">IFERROR(__xludf.DUMMYFUNCTION("""COMPUTED_VALUE"""),"Function Unknown - all members in pham are unknown and even the poor hhpred matches are uknown")</f>
        <v>Function Unknown - all members in pham are unknown and even the poor hhpred matches are uknown</v>
      </c>
      <c r="C20" s="6" t="str">
        <f ca="1">IFERROR(__xludf.DUMMYFUNCTION("""COMPUTED_VALUE"""),"Hypothetical protien; because both hits on hhpred and NCBI were inconclusive and didnt provide much information into what it could be, the hits were all over the place")</f>
        <v>Hypothetical protien; because both hits on hhpred and NCBI were inconclusive and didnt provide much information into what it could be, the hits were all over the place</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IFERROR(__xludf.DUMMYFUNCTION("IMPORTRANGE(""https://docs.google.com/spreadsheets/d/1JcP72URjln8m_02QQGZH43HhxTMRpkReW-wbnKU8b-0"", ""S34!B1:B22"")"),"Josiah Bolton")</f>
        <v>Josiah Bolton</v>
      </c>
      <c r="C1" s="11" t="str">
        <f ca="1">IFERROR(__xludf.DUMMYFUNCTION("IMPORTRANGE(""https://docs.google.com/spreadsheets/d/1u6ZP_AyBJKGOZ-m1erEe8ylMC_0IEsUBTvQJRRPiF5g"", ""S34!B1:B22"")"),"Erin Loudermilk")</f>
        <v>Erin Loudermilk</v>
      </c>
      <c r="D1" s="2" t="s">
        <v>0</v>
      </c>
    </row>
    <row r="2" spans="1:4" ht="15.75" customHeight="1" x14ac:dyDescent="0.15">
      <c r="A2" s="3" t="s">
        <v>1</v>
      </c>
      <c r="B2" s="4" t="str">
        <f ca="1">IFERROR(__xludf.DUMMYFUNCTION("""COMPUTED_VALUE"""),"25386 - 24790 REV")</f>
        <v>25386 - 24790 REV</v>
      </c>
      <c r="C2" s="4" t="str">
        <f ca="1">IFERROR(__xludf.DUMMYFUNCTION("""COMPUTED_VALUE"""),"25386 - 24790, REV")</f>
        <v>25386 - 24790, REV</v>
      </c>
      <c r="D2" s="4"/>
    </row>
    <row r="3" spans="1:4" ht="15.75" customHeight="1" x14ac:dyDescent="0.15">
      <c r="A3" s="5" t="s">
        <v>2</v>
      </c>
      <c r="B3" s="6" t="str">
        <f ca="1">IFERROR(__xludf.DUMMYFUNCTION("""COMPUTED_VALUE"""),"33 in DNA Master
34 on Phamerator map")</f>
        <v>33 in DNA Master
34 on Phamerator map</v>
      </c>
      <c r="C3" s="6" t="str">
        <f ca="1">IFERROR(__xludf.DUMMYFUNCTION("""COMPUTED_VALUE"""),"DNA: 33, Pham: 34")</f>
        <v>DNA: 33, Pham: 34</v>
      </c>
      <c r="D3" s="6"/>
    </row>
    <row r="4" spans="1:4" ht="15.75" customHeight="1" x14ac:dyDescent="0.15">
      <c r="A4" s="5" t="s">
        <v>3</v>
      </c>
      <c r="B4" s="6" t="str">
        <f ca="1">IFERROR(__xludf.DUMMYFUNCTION("""COMPUTED_VALUE"""),"227487 4/15/2025")</f>
        <v>227487 4/15/2025</v>
      </c>
      <c r="C4" s="6" t="str">
        <f ca="1">IFERROR(__xludf.DUMMYFUNCTION("""COMPUTED_VALUE"""),"Pham 226239 (4/11/25)")</f>
        <v>Pham 226239 (4/11/25)</v>
      </c>
      <c r="D4" s="6"/>
    </row>
    <row r="5" spans="1:4" ht="15.75" customHeight="1" x14ac:dyDescent="0.15">
      <c r="A5" s="5" t="s">
        <v>4</v>
      </c>
      <c r="B5" s="6" t="str">
        <f ca="1">IFERROR(__xludf.DUMMYFUNCTION("""COMPUTED_VALUE"""),"Nandita 34")</f>
        <v>Nandita 34</v>
      </c>
      <c r="C5" s="6" t="str">
        <f ca="1">IFERROR(__xludf.DUMMYFUNCTION("""COMPUTED_VALUE"""),"Nandita_34")</f>
        <v>Nandita_34</v>
      </c>
      <c r="D5" s="6"/>
    </row>
    <row r="6" spans="1:4" ht="15.75" customHeight="1" x14ac:dyDescent="0.15">
      <c r="A6" s="5" t="s">
        <v>5</v>
      </c>
      <c r="B6" s="6" t="str">
        <f ca="1">IFERROR(__xludf.DUMMYFUNCTION("""COMPUTED_VALUE"""),"Both programs call this gene.")</f>
        <v>Both programs call this gene.</v>
      </c>
      <c r="C6" s="6" t="str">
        <f ca="1">IFERROR(__xludf.DUMMYFUNCTION("""COMPUTED_VALUE"""),"Both call start @ 24790")</f>
        <v>Both call start @ 24790</v>
      </c>
      <c r="D6" s="6"/>
    </row>
    <row r="7" spans="1:4" ht="15.75" customHeight="1" x14ac:dyDescent="0.15">
      <c r="A7" s="5" t="s">
        <v>6</v>
      </c>
      <c r="B7" s="6" t="str">
        <f ca="1">IFERROR(__xludf.DUMMYFUNCTION("""COMPUTED_VALUE"""),"Does have coding potential but not all is captured. Missed a little bit of coding in the reverse.")</f>
        <v>Does have coding potential but not all is captured. Missed a little bit of coding in the reverse.</v>
      </c>
      <c r="C7" s="6" t="str">
        <f ca="1">IFERROR(__xludf.DUMMYFUNCTION("""COMPUTED_VALUE"""),"Gene has good coding potential, including start")</f>
        <v>Gene has good coding potential, including start</v>
      </c>
      <c r="D7" s="6"/>
    </row>
    <row r="8" spans="1:4" ht="15.75" customHeight="1" x14ac:dyDescent="0.15">
      <c r="A8" s="5" t="s">
        <v>7</v>
      </c>
      <c r="B8" s="6" t="str">
        <f ca="1">IFERROR(__xludf.DUMMYFUNCTION("""COMPUTED_VALUE"""),"Not longest ORF because of the reverse gene.")</f>
        <v>Not longest ORF because of the reverse gene.</v>
      </c>
      <c r="C8" s="6" t="str">
        <f ca="1">IFERROR(__xludf.DUMMYFUNCTION("""COMPUTED_VALUE"""),"No, longest possible ORF has a z-score of .818")</f>
        <v>No, longest possible ORF has a z-score of .818</v>
      </c>
      <c r="D8" s="6"/>
    </row>
    <row r="9" spans="1:4" ht="15.75" customHeight="1" x14ac:dyDescent="0.15">
      <c r="A9" s="5" t="s">
        <v>8</v>
      </c>
      <c r="B9" s="6" t="str">
        <f ca="1">IFERROR(__xludf.DUMMYFUNCTION("""COMPUTED_VALUE"""),"3 nucleotide bp overlap.")</f>
        <v>3 nucleotide bp overlap.</v>
      </c>
      <c r="C9" s="6" t="str">
        <f ca="1">IFERROR(__xludf.DUMMYFUNCTION("""COMPUTED_VALUE"""),"190 gap, but there is a start with less. Start 25512 has only a 64 gap ")</f>
        <v xml:space="preserve">190 gap, but there is a start with less. Start 25512 has only a 64 gap </v>
      </c>
      <c r="D9" s="6"/>
    </row>
    <row r="10" spans="1:4" ht="15.75" customHeight="1" x14ac:dyDescent="0.15">
      <c r="A10" s="5" t="s">
        <v>9</v>
      </c>
      <c r="B10" s="6" t="str">
        <f ca="1">IFERROR(__xludf.DUMMYFUNCTION("""COMPUTED_VALUE"""),"Z-score is 1.454 and final score is -5.728. Another start being considered is 25512 with a z-score of 2.124 and a final score of -5.416. The best score is at start 25512.")</f>
        <v>Z-score is 1.454 and final score is -5.728. Another start being considered is 25512 with a z-score of 2.124 and a final score of -5.416. The best score is at start 25512.</v>
      </c>
      <c r="C10" s="6" t="str">
        <f ca="1">IFERROR(__xludf.DUMMYFUNCTION("""COMPUTED_VALUE"""),"1.454 z-score. Start 25512 has a z-score of 2.124")</f>
        <v>1.454 z-score. Start 25512 has a z-score of 2.124</v>
      </c>
      <c r="D10" s="6"/>
    </row>
    <row r="11" spans="1:4" ht="15.75" customHeight="1" x14ac:dyDescent="0.15">
      <c r="A11" s="5" t="s">
        <v>10</v>
      </c>
      <c r="B11" s="6" t="str">
        <f ca="1">IFERROR(__xludf.DUMMYFUNCTION("""COMPUTED_VALUE"""),"Hestia 34 with % identity 82.08% with e value 3.12e-141. q1:s43")</f>
        <v>Hestia 34 with % identity 82.08% with e value 3.12e-141. q1:s43</v>
      </c>
      <c r="C11" s="6" t="str">
        <f ca="1">IFERROR(__xludf.DUMMYFUNCTION("""COMPUTED_VALUE"""),"Nandita_34, 93.7255% identity, 3.95575e-172 e-value")</f>
        <v>Nandita_34, 93.7255% identity, 3.95575e-172 e-value</v>
      </c>
      <c r="D11" s="6"/>
    </row>
    <row r="12" spans="1:4" ht="15.75" customHeight="1" x14ac:dyDescent="0.15">
      <c r="A12" s="5" t="s">
        <v>11</v>
      </c>
      <c r="B12" s="6" t="str">
        <f ca="1">IFERROR(__xludf.DUMMYFUNCTION("""COMPUTED_VALUE"""),"Not all members of the pham and is only called 4.4% of time when present.")</f>
        <v>Not all members of the pham and is only called 4.4% of time when present.</v>
      </c>
      <c r="C12" s="6" t="str">
        <f ca="1">IFERROR(__xludf.DUMMYFUNCTION("""COMPUTED_VALUE"""),"Not conserved in all members of pham, called 4.4% of the time when present")</f>
        <v>Not conserved in all members of pham, called 4.4% of the time when present</v>
      </c>
      <c r="D12" s="6"/>
    </row>
    <row r="13" spans="1:4" ht="15.75" customHeight="1" x14ac:dyDescent="0.15">
      <c r="A13" s="5" t="s">
        <v>12</v>
      </c>
      <c r="B13" s="6" t="str">
        <f ca="1">IFERROR(__xludf.DUMMYFUNCTION("""COMPUTED_VALUE"""),"Yes start change because of a better z-score and more gene coding potential gathered.")</f>
        <v>Yes start change because of a better z-score and more gene coding potential gathered.</v>
      </c>
      <c r="C13" s="6" t="str">
        <f ca="1">IFERROR(__xludf.DUMMYFUNCTION("""COMPUTED_VALUE"""),"Yes, change to start 25512. It has a better z-score, shorter gap, and is the most annotated start of the pham")</f>
        <v>Yes, change to start 25512. It has a better z-score, shorter gap, and is the most annotated start of the pham</v>
      </c>
      <c r="D13" s="6"/>
    </row>
    <row r="14" spans="1:4" ht="15.75" customHeight="1" x14ac:dyDescent="0.15">
      <c r="A14" s="5" t="s">
        <v>13</v>
      </c>
      <c r="B14" s="6" t="str">
        <f ca="1">IFERROR(__xludf.DUMMYFUNCTION("""COMPUTED_VALUE"""),"Hestia 34 e value 1e-112")</f>
        <v>Hestia 34 e value 1e-112</v>
      </c>
      <c r="C14" s="6" t="str">
        <f ca="1">IFERROR(__xludf.DUMMYFUNCTION("""COMPUTED_VALUE"""),"nandita_34, 1e-136 e-value")</f>
        <v>nandita_34, 1e-136 e-value</v>
      </c>
      <c r="D14" s="6"/>
    </row>
    <row r="15" spans="1:4" ht="15.75" customHeight="1" x14ac:dyDescent="0.15">
      <c r="A15" s="5" t="s">
        <v>14</v>
      </c>
      <c r="B15" s="6" t="str">
        <f ca="1">IFERROR(__xludf.DUMMYFUNCTION("""COMPUTED_VALUE"""),"Hestia 34 is an esterase")</f>
        <v>Hestia 34 is an esterase</v>
      </c>
      <c r="C15" s="6" t="str">
        <f ca="1">IFERROR(__xludf.DUMMYFUNCTION("""COMPUTED_VALUE"""),"lipase")</f>
        <v>lipase</v>
      </c>
      <c r="D15" s="6"/>
    </row>
    <row r="16" spans="1:4" ht="15.75" customHeight="1" x14ac:dyDescent="0.15">
      <c r="A16" s="5" t="s">
        <v>15</v>
      </c>
      <c r="B16" s="6" t="str">
        <f ca="1">IFERROR(__xludf.DUMMYFUNCTION("""COMPUTED_VALUE"""),"Synteny would be expected because of how closely related.")</f>
        <v>Synteny would be expected because of how closely related.</v>
      </c>
      <c r="C16" s="6" t="str">
        <f ca="1">IFERROR(__xludf.DUMMYFUNCTION("""COMPUTED_VALUE"""),"Yes, found in similar environment in Nandita")</f>
        <v>Yes, found in similar environment in Nandita</v>
      </c>
      <c r="D16" s="6"/>
    </row>
    <row r="17" spans="1:4" ht="15.75" customHeight="1" x14ac:dyDescent="0.15">
      <c r="A17" s="5" t="s">
        <v>16</v>
      </c>
      <c r="B17" s="6" t="str">
        <f ca="1">IFERROR(__xludf.DUMMYFUNCTION("""COMPUTED_VALUE"""),"GDSL-family esterase; esterase, HYDROLASE; 2.62A {Geobacillus thermodenitrificans} Probability 99.91%. Alignment of query is 74.17% and alignment of target is 67.68%. The functional domain is in target part of alignment.")</f>
        <v>GDSL-family esterase; esterase, HYDROLASE; 2.62A {Geobacillus thermodenitrificans} Probability 99.91%. Alignment of query is 74.17% and alignment of target is 67.68%. The functional domain is in target part of alignment.</v>
      </c>
      <c r="C17" s="6" t="str">
        <f ca="1">IFERROR(__xludf.DUMMYFUNCTION("""COMPUTED_VALUE"""),"7E16_A	GDSL-family esterase; esterase, HYDROLASE. 99.9% probability, 76.47% query, 91.15% target. Functional domain is in target alignment")</f>
        <v>7E16_A	GDSL-family esterase; esterase, HYDROLASE. 99.9% probability, 76.47% query, 91.15% target. Functional domain is in target alignment</v>
      </c>
      <c r="D17" s="6"/>
    </row>
    <row r="18" spans="1:4" ht="15.75" customHeight="1" x14ac:dyDescent="0.15">
      <c r="A18" s="5" t="s">
        <v>17</v>
      </c>
      <c r="B18" s="6" t="str">
        <f ca="1">IFERROR(__xludf.DUMMYFUNCTION("""COMPUTED_VALUE"""),"Yes, in the hydrolase family.
Protein Alignment Data:
Query Start (Amino Acid Position): 2
Query End (Amino Acid Position): 184
E-Value: 0.000676563")</f>
        <v>Yes, in the hydrolase family.
Protein Alignment Data:
Query Start (Amino Acid Position): 2
Query End (Amino Acid Position): 184
E-Value: 0.000676563</v>
      </c>
      <c r="C18" s="6" t="str">
        <f ca="1">IFERROR(__xludf.DUMMYFUNCTION("""COMPUTED_VALUE"""),"Lipase_GDSL_2")</f>
        <v>Lipase_GDSL_2</v>
      </c>
      <c r="D18" s="6"/>
    </row>
    <row r="19" spans="1:4" ht="15.75" customHeight="1" x14ac:dyDescent="0.15">
      <c r="A19" s="5" t="s">
        <v>18</v>
      </c>
      <c r="B19" s="6" t="str">
        <f ca="1">IFERROR(__xludf.DUMMYFUNCTION("""COMPUTED_VALUE"""),"None.")</f>
        <v>None.</v>
      </c>
      <c r="C19" s="6" t="str">
        <f ca="1">IFERROR(__xludf.DUMMYFUNCTION("""COMPUTED_VALUE"""),"None")</f>
        <v>None</v>
      </c>
      <c r="D19" s="6"/>
    </row>
    <row r="20" spans="1:4" ht="15.75" customHeight="1" x14ac:dyDescent="0.15">
      <c r="A20" s="5" t="s">
        <v>19</v>
      </c>
      <c r="B20" s="6" t="str">
        <f ca="1">IFERROR(__xludf.DUMMYFUNCTION("""COMPUTED_VALUE"""),"esterase because of the evidence from PhagesDB, PECAAN, DNA Master, Phamerator, and HHPred. The evidence did not align well enough to be a lipase but still in that hydrolase family. HHPred revealed a target part of alignment with an esterase.")</f>
        <v>esterase because of the evidence from PhagesDB, PECAAN, DNA Master, Phamerator, and HHPred. The evidence did not align well enough to be a lipase but still in that hydrolase family. HHPred revealed a target part of alignment with an esterase.</v>
      </c>
      <c r="C20" s="6" t="str">
        <f ca="1">IFERROR(__xludf.DUMMYFUNCTION("""COMPUTED_VALUE"""),"Lipase")</f>
        <v>Lipase</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IFERROR(__xludf.DUMMYFUNCTION("IMPORTRANGE(""https://docs.google.com/spreadsheets/d/14y37YetMnZx9r75GG6HNm6HxdMfX_704WhJDUt8FSgU"", ""S35!B1:B22"")"),"Braden Brennan")</f>
        <v>Braden Brennan</v>
      </c>
      <c r="C1" s="11" t="str">
        <f ca="1">IFERROR(__xludf.DUMMYFUNCTION("IMPORTRANGE(""https://docs.google.com/spreadsheets/d/12D2a8_yN9-M20Swe1qSSTzsOdHwl9WpMkqw3nyC2tRc"", ""S35!B1:B22"")"),"Noelle Labadens")</f>
        <v>Noelle Labadens</v>
      </c>
      <c r="D1" s="2" t="s">
        <v>0</v>
      </c>
    </row>
    <row r="2" spans="1:4" ht="15.75" customHeight="1" x14ac:dyDescent="0.15">
      <c r="A2" s="3" t="s">
        <v>1</v>
      </c>
      <c r="B2" s="4" t="str">
        <f ca="1">IFERROR(__xludf.DUMMYFUNCTION("""COMPUTED_VALUE"""),"26086 - 25577 Backwards")</f>
        <v>26086 - 25577 Backwards</v>
      </c>
      <c r="C2" s="4" t="str">
        <f ca="1">IFERROR(__xludf.DUMMYFUNCTION("""COMPUTED_VALUE"""),"26086-25577 REV")</f>
        <v>26086-25577 REV</v>
      </c>
      <c r="D2" s="4"/>
    </row>
    <row r="3" spans="1:4" ht="15.75" customHeight="1" x14ac:dyDescent="0.15">
      <c r="A3" s="5" t="s">
        <v>2</v>
      </c>
      <c r="B3" s="6" t="str">
        <f ca="1">IFERROR(__xludf.DUMMYFUNCTION("""COMPUTED_VALUE"""),"Pham:35   DNAM: 34")</f>
        <v>Pham:35   DNAM: 34</v>
      </c>
      <c r="C3" s="6" t="str">
        <f ca="1">IFERROR(__xludf.DUMMYFUNCTION("""COMPUTED_VALUE"""),"DNAMaster: 34; Phamerator: 35")</f>
        <v>DNAMaster: 34; Phamerator: 35</v>
      </c>
      <c r="D3" s="6"/>
    </row>
    <row r="4" spans="1:4" ht="15.75" customHeight="1" x14ac:dyDescent="0.15">
      <c r="A4" s="5" t="s">
        <v>3</v>
      </c>
      <c r="B4" s="6" t="str">
        <f ca="1">IFERROR(__xludf.DUMMYFUNCTION("""COMPUTED_VALUE"""),"Pham 4522 4/4/2025")</f>
        <v>Pham 4522 4/4/2025</v>
      </c>
      <c r="C4" s="6" t="str">
        <f ca="1">IFERROR(__xludf.DUMMYFUNCTION("""COMPUTED_VALUE"""),"pham 4522")</f>
        <v>pham 4522</v>
      </c>
      <c r="D4" s="6"/>
    </row>
    <row r="5" spans="1:4" ht="15.75" customHeight="1" x14ac:dyDescent="0.15">
      <c r="A5" s="5" t="s">
        <v>4</v>
      </c>
      <c r="B5" s="6"/>
      <c r="C5" s="6" t="str">
        <f ca="1">IFERROR(__xludf.DUMMYFUNCTION("""COMPUTED_VALUE"""),"Bauer_31, BlackSpider_30")</f>
        <v>Bauer_31, BlackSpider_30</v>
      </c>
      <c r="D5" s="6"/>
    </row>
    <row r="6" spans="1:4" ht="15.75" customHeight="1" x14ac:dyDescent="0.15">
      <c r="A6" s="5" t="s">
        <v>5</v>
      </c>
      <c r="B6" s="6" t="str">
        <f ca="1">IFERROR(__xludf.DUMMYFUNCTION("""COMPUTED_VALUE"""),"Original Glimmer call @bp 26086 has strength 3.50")</f>
        <v>Original Glimmer call @bp 26086 has strength 3.50</v>
      </c>
      <c r="C6" s="6" t="str">
        <f ca="1">IFERROR(__xludf.DUMMYFUNCTION("""COMPUTED_VALUE"""),"both")</f>
        <v>both</v>
      </c>
      <c r="D6" s="6"/>
    </row>
    <row r="7" spans="1:4" ht="15.75" customHeight="1" x14ac:dyDescent="0.15">
      <c r="A7" s="5" t="s">
        <v>6</v>
      </c>
      <c r="B7" s="6" t="str">
        <f ca="1">IFERROR(__xludf.DUMMYFUNCTION("""COMPUTED_VALUE"""),"pretty odd coding potential- has a large dip in the center of the gene")</f>
        <v>pretty odd coding potential- has a large dip in the center of the gene</v>
      </c>
      <c r="C7" s="6" t="str">
        <f ca="1">IFERROR(__xludf.DUMMYFUNCTION("""COMPUTED_VALUE"""),"ok coding potential. captures all gene")</f>
        <v>ok coding potential. captures all gene</v>
      </c>
      <c r="D7" s="6"/>
    </row>
    <row r="8" spans="1:4" ht="15.75" customHeight="1" x14ac:dyDescent="0.15">
      <c r="A8" s="5" t="s">
        <v>7</v>
      </c>
      <c r="B8" s="6" t="str">
        <f ca="1">IFERROR(__xludf.DUMMYFUNCTION("""COMPUTED_VALUE"""),"Not the longest ")</f>
        <v xml:space="preserve">Not the longest </v>
      </c>
      <c r="C8" s="6" t="str">
        <f ca="1">IFERROR(__xludf.DUMMYFUNCTION("""COMPUTED_VALUE"""),"no, 2 other later starts")</f>
        <v>no, 2 other later starts</v>
      </c>
      <c r="D8" s="6"/>
    </row>
    <row r="9" spans="1:4" ht="15.75" customHeight="1" x14ac:dyDescent="0.15">
      <c r="A9" s="5" t="s">
        <v>8</v>
      </c>
      <c r="B9" s="6" t="str">
        <f ca="1">IFERROR(__xludf.DUMMYFUNCTION("""COMPUTED_VALUE"""),"191 nucleotide gap")</f>
        <v>191 nucleotide gap</v>
      </c>
      <c r="C9" s="6" t="str">
        <f ca="1">IFERROR(__xludf.DUMMYFUNCTION("""COMPUTED_VALUE"""),"107 nt gap")</f>
        <v>107 nt gap</v>
      </c>
      <c r="D9" s="6"/>
    </row>
    <row r="10" spans="1:4" ht="15.75" customHeight="1" x14ac:dyDescent="0.15">
      <c r="A10" s="5" t="s">
        <v>9</v>
      </c>
      <c r="B10" s="6" t="str">
        <f ca="1">IFERROR(__xludf.DUMMYFUNCTION("""COMPUTED_VALUE"""),"SD: -6.048 Z: 0.978 Final: -7.119")</f>
        <v>SD: -6.048 Z: 0.978 Final: -7.119</v>
      </c>
      <c r="C10" s="6" t="str">
        <f ca="1">IFERROR(__xludf.DUMMYFUNCTION("""COMPUTED_VALUE"""),"z score: 0.819. there's one good z score at start 25741. there are two later scores at 26098 and 26152 with z scores 1.726 and 1.324 respectivly")</f>
        <v>z score: 0.819. there's one good z score at start 25741. there are two later scores at 26098 and 26152 with z scores 1.726 and 1.324 respectivly</v>
      </c>
      <c r="D10" s="6"/>
    </row>
    <row r="11" spans="1:4" ht="15.75" customHeight="1" x14ac:dyDescent="0.15">
      <c r="A11" s="5" t="s">
        <v>10</v>
      </c>
      <c r="B11" s="6" t="str">
        <f ca="1">IFERROR(__xludf.DUMMYFUNCTION("""COMPUTED_VALUE"""),"hypothetical protein - Phage Bridgette - 100% identity, 3.35922e-124")</f>
        <v>hypothetical protein - Phage Bridgette - 100% identity, 3.35922e-124</v>
      </c>
      <c r="C11" s="6" t="str">
        <f ca="1">IFERROR(__xludf.DUMMYFUNCTION("""COMPUTED_VALUE"""),"a lot of good matches. Zaheer_33, 100%, 2e-98, q:1 s:1; YoungHarleezy_33, 100%, 2e-98, q:1 s:1")</f>
        <v>a lot of good matches. Zaheer_33, 100%, 2e-98, q:1 s:1; YoungHarleezy_33, 100%, 2e-98, q:1 s:1</v>
      </c>
      <c r="D11" s="6"/>
    </row>
    <row r="12" spans="1:4" ht="15.75" customHeight="1" x14ac:dyDescent="0.15">
      <c r="A12" s="5" t="s">
        <v>11</v>
      </c>
      <c r="B12" s="6" t="str">
        <f ca="1">IFERROR(__xludf.DUMMYFUNCTION("""COMPUTED_VALUE"""),"Found in 42 of 42 ( 100.0% ) of genes in pham called 73.8% of the time")</f>
        <v>Found in 42 of 42 ( 100.0% ) of genes in pham called 73.8% of the time</v>
      </c>
      <c r="C12" s="6" t="str">
        <f ca="1">IFERROR(__xludf.DUMMYFUNCTION("""COMPUTED_VALUE"""),"yes, called 73.8% of the time. most annotated call.")</f>
        <v>yes, called 73.8% of the time. most annotated call.</v>
      </c>
      <c r="D12" s="6"/>
    </row>
    <row r="13" spans="1:4" ht="15.75" customHeight="1" x14ac:dyDescent="0.15">
      <c r="A13" s="5" t="s">
        <v>12</v>
      </c>
      <c r="B13" s="6" t="str">
        <f ca="1">IFERROR(__xludf.DUMMYFUNCTION("""COMPUTED_VALUE"""),"No mactches all starts in the same fam but the large gap between 34 and 35 is concerning and may want to be looked into")</f>
        <v>No mactches all starts in the same fam but the large gap between 34 and 35 is concerning and may want to be looked into</v>
      </c>
      <c r="C13" s="6" t="str">
        <f ca="1">IFERROR(__xludf.DUMMYFUNCTION("""COMPUTED_VALUE"""),"no. the start that would close the gap the most is 26152 making it a 41 nt gap. but it matches well with the blast results and is the most annotated start. it's coding potential is decent. I don't really think that the gap closure alone is enough to justi"&amp;"fy moving it.")</f>
        <v>no. the start that would close the gap the most is 26152 making it a 41 nt gap. but it matches well with the blast results and is the most annotated start. it's coding potential is decent. I don't really think that the gap closure alone is enough to justify moving it.</v>
      </c>
      <c r="D13" s="6"/>
    </row>
    <row r="14" spans="1:4" ht="15.75" customHeight="1" x14ac:dyDescent="0.15">
      <c r="A14" s="5" t="s">
        <v>13</v>
      </c>
      <c r="B14" s="6" t="str">
        <f ca="1">IFERROR(__xludf.DUMMYFUNCTION("""COMPUTED_VALUE"""),"Bauer_31 BenchScraper_35 BlackSpider_30 BlueShadow_36 Bowser_32 Bridgette_33")</f>
        <v>Bauer_31 BenchScraper_35 BlackSpider_30 BlueShadow_36 Bowser_32 Bridgette_33</v>
      </c>
      <c r="C14" s="6" t="str">
        <f ca="1">IFERROR(__xludf.DUMMYFUNCTION("""COMPUTED_VALUE"""),"Zaheer_33 2e-98, YoungHarleezy_33 2e-98")</f>
        <v>Zaheer_33 2e-98, YoungHarleezy_33 2e-98</v>
      </c>
      <c r="D14" s="6"/>
    </row>
    <row r="15" spans="1:4" ht="15.75" customHeight="1" x14ac:dyDescent="0.15">
      <c r="A15" s="5" t="s">
        <v>14</v>
      </c>
      <c r="B15" s="6" t="str">
        <f ca="1">IFERROR(__xludf.DUMMYFUNCTION("""COMPUTED_VALUE"""),"No function listed on PHAGESDB")</f>
        <v>No function listed on PHAGESDB</v>
      </c>
      <c r="C15" s="6" t="str">
        <f ca="1">IFERROR(__xludf.DUMMYFUNCTION("""COMPUTED_VALUE"""),"Function Unknown - both")</f>
        <v>Function Unknown - both</v>
      </c>
      <c r="D15" s="6"/>
    </row>
    <row r="16" spans="1:4" ht="15.75" customHeight="1" x14ac:dyDescent="0.15">
      <c r="A16" s="5" t="s">
        <v>15</v>
      </c>
      <c r="B16" s="6" t="str">
        <f ca="1">IFERROR(__xludf.DUMMYFUNCTION("""COMPUTED_VALUE"""),"Fits moderatly well but does have a questionable gap")</f>
        <v>Fits moderatly well but does have a questionable gap</v>
      </c>
      <c r="C16" s="6" t="str">
        <f ca="1">IFERROR(__xludf.DUMMYFUNCTION("""COMPUTED_VALUE"""),"before the gene the synteny is good, but after Schism has a few extra genes that don't line up with Zaheer.")</f>
        <v>before the gene the synteny is good, but after Schism has a few extra genes that don't line up with Zaheer.</v>
      </c>
      <c r="D16" s="6"/>
    </row>
    <row r="17" spans="1:4" ht="15.75" customHeight="1" x14ac:dyDescent="0.15">
      <c r="A17" s="5" t="s">
        <v>16</v>
      </c>
      <c r="B17" s="6" t="str">
        <f ca="1">IFERROR(__xludf.DUMMYFUNCTION("""COMPUTED_VALUE"""),"CdiI immunity protein; toxin, antitoxin: 64.1% probability, Q: 25%-T: 33%")</f>
        <v>CdiI immunity protein; toxin, antitoxin: 64.1% probability, Q: 25%-T: 33%</v>
      </c>
      <c r="C17" s="6" t="str">
        <f ca="1">IFERROR(__xludf.DUMMYFUNCTION("""COMPUTED_VALUE"""),"all probability's are below 65%.")</f>
        <v>all probability's are below 65%.</v>
      </c>
      <c r="D17" s="6"/>
    </row>
    <row r="18" spans="1:4" ht="15.75" customHeight="1" x14ac:dyDescent="0.15">
      <c r="A18" s="5" t="s">
        <v>17</v>
      </c>
      <c r="B18" s="6" t="str">
        <f ca="1">IFERROR(__xludf.DUMMYFUNCTION("""COMPUTED_VALUE"""),"No conserve domains listed")</f>
        <v>No conserve domains listed</v>
      </c>
      <c r="C18" s="6" t="str">
        <f ca="1">IFERROR(__xludf.DUMMYFUNCTION("""COMPUTED_VALUE"""),"none")</f>
        <v>none</v>
      </c>
      <c r="D18" s="6"/>
    </row>
    <row r="19" spans="1:4" ht="15.75" customHeight="1" x14ac:dyDescent="0.15">
      <c r="A19" s="5" t="s">
        <v>18</v>
      </c>
      <c r="B19" s="6" t="str">
        <f ca="1">IFERROR(__xludf.DUMMYFUNCTION("""COMPUTED_VALUE"""),"inside probability 1")</f>
        <v>inside probability 1</v>
      </c>
      <c r="C19" s="6" t="str">
        <f ca="1">IFERROR(__xludf.DUMMYFUNCTION("""COMPUTED_VALUE"""),"none")</f>
        <v>none</v>
      </c>
      <c r="D19" s="6"/>
    </row>
    <row r="20" spans="1:4" ht="15.75" customHeight="1" x14ac:dyDescent="0.15">
      <c r="A20" s="5" t="s">
        <v>19</v>
      </c>
      <c r="B20" s="6" t="str">
        <f ca="1">IFERROR(__xludf.DUMMYFUNCTION("""COMPUTED_VALUE"""),"Probably a hypothetical protein ")</f>
        <v xml:space="preserve">Probably a hypothetical protein </v>
      </c>
      <c r="C20" s="6" t="str">
        <f ca="1">IFERROR(__xludf.DUMMYFUNCTION("""COMPUTED_VALUE"""),"Function Unknown. this is conserved in all members of pham and the probability of it being an hhpred function is too low.")</f>
        <v>Function Unknown. this is conserved in all members of pham and the probability of it being an hhpred function is too low.</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IFERROR(__xludf.DUMMYFUNCTION("IMPORTRANGE(""https://docs.google.com/spreadsheets/d/1lnhM27PotbG3sLgv1l-Z-v-YjCyKJ0DlymQrusc2STA"", ""S36!B1:B22"")"),"Layla Baldwin")</f>
        <v>Layla Baldwin</v>
      </c>
      <c r="C1" s="11" t="str">
        <f ca="1">IFERROR(__xludf.DUMMYFUNCTION("IMPORTRANGE(""https://docs.google.com/spreadsheets/d/1rjebY3ldoEXrRbLWoPXCIhvF_kMyOvJr_yst6T3o1Qk"", ""S36!B1:B22"")"),"Zachary Edwards")</f>
        <v>Zachary Edwards</v>
      </c>
      <c r="D1" s="2" t="s">
        <v>0</v>
      </c>
    </row>
    <row r="2" spans="1:4" ht="15.75" customHeight="1" x14ac:dyDescent="0.15">
      <c r="A2" s="3" t="s">
        <v>1</v>
      </c>
      <c r="B2" s="4" t="str">
        <f ca="1">IFERROR(__xludf.DUMMYFUNCTION("""COMPUTED_VALUE"""),"26193-26519 Forward")</f>
        <v>26193-26519 Forward</v>
      </c>
      <c r="C2" s="4" t="str">
        <f ca="1">IFERROR(__xludf.DUMMYFUNCTION("""COMPUTED_VALUE"""),"DNAM Start:26193 Stop:26519 
PHAM Start:26193 Stop:26519 
FOR")</f>
        <v>DNAM Start:26193 Stop:26519 
PHAM Start:26193 Stop:26519 
FOR</v>
      </c>
      <c r="D2" s="4"/>
    </row>
    <row r="3" spans="1:4" ht="15.75" customHeight="1" x14ac:dyDescent="0.15">
      <c r="A3" s="5" t="s">
        <v>2</v>
      </c>
      <c r="B3" s="6" t="str">
        <f ca="1">IFERROR(__xludf.DUMMYFUNCTION("""COMPUTED_VALUE"""),"36 in PDB and Pham, 35 in DNAM")</f>
        <v>36 in PDB and Pham, 35 in DNAM</v>
      </c>
      <c r="C3" s="6" t="str">
        <f ca="1">IFERROR(__xludf.DUMMYFUNCTION("""COMPUTED_VALUE"""),"DNAM:35
PHAM: 36")</f>
        <v>DNAM:35
PHAM: 36</v>
      </c>
      <c r="D3" s="6"/>
    </row>
    <row r="4" spans="1:4" ht="15.75" customHeight="1" x14ac:dyDescent="0.15">
      <c r="A4" s="5" t="s">
        <v>3</v>
      </c>
      <c r="B4" s="6" t="str">
        <f ca="1">IFERROR(__xludf.DUMMYFUNCTION("""COMPUTED_VALUE"""),"209937 4/2/25")</f>
        <v>209937 4/2/25</v>
      </c>
      <c r="C4" s="6" t="str">
        <f ca="1">IFERROR(__xludf.DUMMYFUNCTION("""COMPUTED_VALUE"""),"209937 3/31/25")</f>
        <v>209937 3/31/25</v>
      </c>
      <c r="D4" s="6"/>
    </row>
    <row r="5" spans="1:4" ht="15.75" customHeight="1" x14ac:dyDescent="0.15">
      <c r="A5" s="5" t="s">
        <v>4</v>
      </c>
      <c r="B5" s="6" t="str">
        <f ca="1">IFERROR(__xludf.DUMMYFUNCTION("""COMPUTED_VALUE"""),"Orphan")</f>
        <v>Orphan</v>
      </c>
      <c r="C5" s="6" t="str">
        <f ca="1">IFERROR(__xludf.DUMMYFUNCTION("""COMPUTED_VALUE"""),"Orpham")</f>
        <v>Orpham</v>
      </c>
      <c r="D5" s="6"/>
    </row>
    <row r="6" spans="1:4" ht="15.75" customHeight="1" x14ac:dyDescent="0.15">
      <c r="A6" s="5" t="s">
        <v>5</v>
      </c>
      <c r="B6" s="6" t="str">
        <f ca="1">IFERROR(__xludf.DUMMYFUNCTION("""COMPUTED_VALUE"""),"Glimmer calls at 26193, GeneMark calls at 26169")</f>
        <v>Glimmer calls at 26193, GeneMark calls at 26169</v>
      </c>
      <c r="C6" s="6" t="str">
        <f ca="1">IFERROR(__xludf.DUMMYFUNCTION("""COMPUTED_VALUE"""),"Glimmer Calls Start: 26193
GeneMark Calls start:26169")</f>
        <v>Glimmer Calls Start: 26193
GeneMark Calls start:26169</v>
      </c>
      <c r="D6" s="6"/>
    </row>
    <row r="7" spans="1:4" ht="15.75" customHeight="1" x14ac:dyDescent="0.15">
      <c r="A7" s="5" t="s">
        <v>6</v>
      </c>
      <c r="B7" s="6" t="str">
        <f ca="1">IFERROR(__xludf.DUMMYFUNCTION("""COMPUTED_VALUE"""),"Gene has meh coding potential, okay potential for last half of gene. Both called starts capture potential")</f>
        <v>Gene has meh coding potential, okay potential for last half of gene. Both called starts capture potential</v>
      </c>
      <c r="C7" s="6" t="str">
        <f ca="1">IFERROR(__xludf.DUMMYFUNCTION("""COMPUTED_VALUE"""),"Yes and yes")</f>
        <v>Yes and yes</v>
      </c>
      <c r="D7" s="6"/>
    </row>
    <row r="8" spans="1:4" ht="15.75" customHeight="1" x14ac:dyDescent="0.15">
      <c r="A8" s="5" t="s">
        <v>7</v>
      </c>
      <c r="B8" s="6" t="str">
        <f ca="1">IFERROR(__xludf.DUMMYFUNCTION("""COMPUTED_VALUE"""),"No, 4 previous starts")</f>
        <v>No, 4 previous starts</v>
      </c>
      <c r="C8" s="6" t="str">
        <f ca="1">IFERROR(__xludf.DUMMYFUNCTION("""COMPUTED_VALUE"""),"No 4 Earlier Starts")</f>
        <v>No 4 Earlier Starts</v>
      </c>
      <c r="D8" s="6"/>
    </row>
    <row r="9" spans="1:4" ht="15.75" customHeight="1" x14ac:dyDescent="0.15">
      <c r="A9" s="5" t="s">
        <v>8</v>
      </c>
      <c r="B9" s="6" t="str">
        <f ca="1">IFERROR(__xludf.DUMMYFUNCTION("""COMPUTED_VALUE"""),"107 bp gap")</f>
        <v>107 bp gap</v>
      </c>
      <c r="C9" s="6" t="str">
        <f ca="1">IFERROR(__xludf.DUMMYFUNCTION("""COMPUTED_VALUE"""),"107 NT Gap")</f>
        <v>107 NT Gap</v>
      </c>
      <c r="D9" s="6"/>
    </row>
    <row r="10" spans="1:4" ht="15.75" customHeight="1" x14ac:dyDescent="0.15">
      <c r="A10" s="5" t="s">
        <v>9</v>
      </c>
      <c r="B10" s="6" t="str">
        <f ca="1">IFERROR(__xludf.DUMMYFUNCTION("""COMPUTED_VALUE"""),"Z score for Glimmer call = 3.028, final = -2.584. GeneMark start Z = 1.702, final = -6.201. Glimmer call has best scores.")</f>
        <v>Z score for Glimmer call = 3.028, final = -2.584. GeneMark start Z = 1.702, final = -6.201. Glimmer call has best scores.</v>
      </c>
      <c r="C10" s="6" t="str">
        <f ca="1">IFERROR(__xludf.DUMMYFUNCTION("""COMPUTED_VALUE"""),"Current 3.028 (26193) Best
Alt: 1.702 (26169) 1.120 (26064)")</f>
        <v>Current 3.028 (26193) Best
Alt: 1.702 (26169) 1.120 (26064)</v>
      </c>
      <c r="D10" s="6"/>
    </row>
    <row r="11" spans="1:4" ht="15.75" customHeight="1" x14ac:dyDescent="0.15">
      <c r="A11" s="5" t="s">
        <v>10</v>
      </c>
      <c r="B11" s="6" t="str">
        <f ca="1">IFERROR(__xludf.DUMMYFUNCTION("""COMPUTED_VALUE"""),"Auxillium, identity = 94.29, e = 1e-12, q1:s1")</f>
        <v>Auxillium, identity = 94.29, e = 1e-12, q1:s1</v>
      </c>
      <c r="C11" s="6" t="str">
        <f ca="1">IFERROR(__xludf.DUMMYFUNCTION("""COMPUTED_VALUE"""),"Auxilium_32
%ID: 94.29%
E:1e-12
1:1")</f>
        <v>Auxilium_32
%ID: 94.29%
E:1e-12
1:1</v>
      </c>
      <c r="D11" s="6"/>
    </row>
    <row r="12" spans="1:4" ht="15.75" customHeight="1" x14ac:dyDescent="0.15">
      <c r="A12" s="5" t="s">
        <v>11</v>
      </c>
      <c r="B12" s="6" t="str">
        <f ca="1">IFERROR(__xludf.DUMMYFUNCTION("""COMPUTED_VALUE"""),"Orphan, no data")</f>
        <v>Orphan, no data</v>
      </c>
      <c r="C12" s="6" t="str">
        <f ca="1">IFERROR(__xludf.DUMMYFUNCTION("""COMPUTED_VALUE"""),"Orpham")</f>
        <v>Orpham</v>
      </c>
      <c r="D12" s="6"/>
    </row>
    <row r="13" spans="1:4" ht="15.75" customHeight="1" x14ac:dyDescent="0.15">
      <c r="A13" s="5" t="s">
        <v>12</v>
      </c>
      <c r="B13" s="6" t="str">
        <f ca="1">IFERROR(__xludf.DUMMYFUNCTION("""COMPUTED_VALUE"""),"No, Glimmer called start has good potential and scores. Large gap with previous gene, but scores are not good enough to support any other start. ")</f>
        <v xml:space="preserve">No, Glimmer called start has good potential and scores. Large gap with previous gene, but scores are not good enough to support any other start. </v>
      </c>
      <c r="C13" s="6" t="str">
        <f ca="1">IFERROR(__xludf.DUMMYFUNCTION("""COMPUTED_VALUE"""),"No reason to")</f>
        <v>No reason to</v>
      </c>
      <c r="D13" s="6"/>
    </row>
    <row r="14" spans="1:4" ht="15.75" customHeight="1" x14ac:dyDescent="0.15">
      <c r="A14" s="5" t="s">
        <v>13</v>
      </c>
      <c r="B14" s="6" t="str">
        <f ca="1">IFERROR(__xludf.DUMMYFUNCTION("""COMPUTED_VALUE"""),"Auxilium_32, e = 5e-20. Shukran_43, e = 3e-7")</f>
        <v>Auxilium_32, e = 5e-20. Shukran_43, e = 3e-7</v>
      </c>
      <c r="C14" s="6" t="str">
        <f ca="1">IFERROR(__xludf.DUMMYFUNCTION("""COMPUTED_VALUE"""),"Auxilium_32 (Not even same cluster)
E: 5e-20")</f>
        <v>Auxilium_32 (Not even same cluster)
E: 5e-20</v>
      </c>
      <c r="D14" s="6"/>
    </row>
    <row r="15" spans="1:4" ht="15.75" customHeight="1" x14ac:dyDescent="0.15">
      <c r="A15" s="5" t="s">
        <v>14</v>
      </c>
      <c r="B15" s="6" t="str">
        <f ca="1">IFERROR(__xludf.DUMMYFUNCTION("""COMPUTED_VALUE"""),"Function unknown for both")</f>
        <v>Function unknown for both</v>
      </c>
      <c r="C15" s="6" t="str">
        <f ca="1">IFERROR(__xludf.DUMMYFUNCTION("""COMPUTED_VALUE"""),"Function Unknown")</f>
        <v>Function Unknown</v>
      </c>
      <c r="D15" s="6"/>
    </row>
    <row r="16" spans="1:4" ht="15.75" customHeight="1" x14ac:dyDescent="0.15">
      <c r="A16" s="5" t="s">
        <v>15</v>
      </c>
      <c r="B16" s="6" t="str">
        <f ca="1">IFERROR(__xludf.DUMMYFUNCTION("""COMPUTED_VALUE"""),"Yes")</f>
        <v>Yes</v>
      </c>
      <c r="C16" s="6" t="str">
        <f ca="1">IFERROR(__xludf.DUMMYFUNCTION("""COMPUTED_VALUE"""),"Not really even in the same genetic environment")</f>
        <v>Not really even in the same genetic environment</v>
      </c>
      <c r="D16" s="6"/>
    </row>
    <row r="17" spans="1:4" ht="15.75" customHeight="1" x14ac:dyDescent="0.15">
      <c r="A17" s="5" t="s">
        <v>16</v>
      </c>
      <c r="B17" s="6" t="str">
        <f ca="1">IFERROR(__xludf.DUMMYFUNCTION("""COMPUTED_VALUE"""),"Acylaminoacyl peptidase SMU_737; alpha-beta-alpha sandwich, helix bundle, Structural Genomics, PSI-2, Protein Structure Initiative, Midwest Center for Structural Genomics, MCSG; HET: PGE, MSE; 2.1178A {Streptococcus mutans}. Probability = 43.03, aoq = 53."&amp;"7, aot = 14.32. Functional domain not in target part of alignment. ")</f>
        <v xml:space="preserve">Acylaminoacyl peptidase SMU_737; alpha-beta-alpha sandwich, helix bundle, Structural Genomics, PSI-2, Protein Structure Initiative, Midwest Center for Structural Genomics, MCSG; HET: PGE, MSE; 2.1178A {Streptococcus mutans}. Probability = 43.03, aoq = 53.7, aot = 14.32. Functional domain not in target part of alignment. </v>
      </c>
      <c r="C17" s="6" t="str">
        <f ca="1">IFERROR(__xludf.DUMMYFUNCTION("""COMPUTED_VALUE"""),"Nothing of reasonable compatibility")</f>
        <v>Nothing of reasonable compatibility</v>
      </c>
      <c r="D17" s="6"/>
    </row>
    <row r="18" spans="1:4" ht="15.75" customHeight="1" x14ac:dyDescent="0.15">
      <c r="A18" s="5" t="s">
        <v>17</v>
      </c>
      <c r="B18" s="6" t="str">
        <f ca="1">IFERROR(__xludf.DUMMYFUNCTION("""COMPUTED_VALUE"""),"No")</f>
        <v>No</v>
      </c>
      <c r="C18" s="6" t="str">
        <f ca="1">IFERROR(__xludf.DUMMYFUNCTION("""COMPUTED_VALUE"""),"DUF")</f>
        <v>DUF</v>
      </c>
      <c r="D18" s="6"/>
    </row>
    <row r="19" spans="1:4" ht="15.75" customHeight="1" x14ac:dyDescent="0.15">
      <c r="A19" s="5" t="s">
        <v>18</v>
      </c>
      <c r="B19" s="6" t="str">
        <f ca="1">IFERROR(__xludf.DUMMYFUNCTION("""COMPUTED_VALUE"""),"No")</f>
        <v>No</v>
      </c>
      <c r="C19" s="6" t="str">
        <f ca="1">IFERROR(__xludf.DUMMYFUNCTION("""COMPUTED_VALUE"""),"N/A")</f>
        <v>N/A</v>
      </c>
      <c r="D19" s="6"/>
    </row>
    <row r="20" spans="1:4" ht="15.75" customHeight="1" x14ac:dyDescent="0.15">
      <c r="A20" s="5" t="s">
        <v>19</v>
      </c>
      <c r="B20" s="6" t="str">
        <f ca="1">IFERROR(__xludf.DUMMYFUNCTION("""COMPUTED_VALUE"""),"Unknow function, no evidence to support anything else besides HHPRED, but poor scores.")</f>
        <v>Unknow function, no evidence to support anything else besides HHPRED, but poor scores.</v>
      </c>
      <c r="C20" s="6" t="str">
        <f ca="1">IFERROR(__xludf.DUMMYFUNCTION("""COMPUTED_VALUE"""),"Hypotehtical Protein")</f>
        <v>Hypotehtical Protein</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IFERROR(__xludf.DUMMYFUNCTION("IMPORTRANGE(""https://docs.google.com/spreadsheets/d/1lnhM27PotbG3sLgv1l-Z-v-YjCyKJ0DlymQrusc2STA"", ""S37!B1:B22"")"),"Layla Baldwin")</f>
        <v>Layla Baldwin</v>
      </c>
      <c r="C1" s="2" t="str">
        <f ca="1">IFERROR(__xludf.DUMMYFUNCTION("IMPORTRANGE(""https://docs.google.com/spreadsheets/d/1u6ZP_AyBJKGOZ-m1erEe8ylMC_0IEsUBTvQJRRPiF5g"", ""S37!B1:B22"")"),"Erin Loudermilk")</f>
        <v>Erin Loudermilk</v>
      </c>
      <c r="D1" s="2" t="s">
        <v>0</v>
      </c>
    </row>
    <row r="2" spans="1:4" ht="15.75" customHeight="1" x14ac:dyDescent="0.15">
      <c r="A2" s="3" t="s">
        <v>1</v>
      </c>
      <c r="B2" s="4" t="str">
        <f ca="1">IFERROR(__xludf.DUMMYFUNCTION("""COMPUTED_VALUE"""),"26530 to 26880 (Forward)")</f>
        <v>26530 to 26880 (Forward)</v>
      </c>
      <c r="C2" s="4" t="str">
        <f ca="1">IFERROR(__xludf.DUMMYFUNCTION("""COMPUTED_VALUE"""),"26530 - 26880")</f>
        <v>26530 - 26880</v>
      </c>
      <c r="D2" s="4"/>
    </row>
    <row r="3" spans="1:4" ht="15.75" customHeight="1" x14ac:dyDescent="0.15">
      <c r="A3" s="5" t="s">
        <v>2</v>
      </c>
      <c r="B3" s="6" t="str">
        <f ca="1">IFERROR(__xludf.DUMMYFUNCTION("""COMPUTED_VALUE"""),"37 in Pham and PDB, 36 in DNAM")</f>
        <v>37 in Pham and PDB, 36 in DNAM</v>
      </c>
      <c r="C3" s="6" t="str">
        <f ca="1">IFERROR(__xludf.DUMMYFUNCTION("""COMPUTED_VALUE"""),"DNA: 36, Pham:37")</f>
        <v>DNA: 36, Pham:37</v>
      </c>
      <c r="D3" s="6"/>
    </row>
    <row r="4" spans="1:4" ht="15.75" customHeight="1" x14ac:dyDescent="0.15">
      <c r="A4" s="5" t="s">
        <v>3</v>
      </c>
      <c r="B4" s="6" t="str">
        <f ca="1">IFERROR(__xludf.DUMMYFUNCTION("""COMPUTED_VALUE"""),"88816 4/4/25")</f>
        <v>88816 4/4/25</v>
      </c>
      <c r="C4" s="6" t="str">
        <f ca="1">IFERROR(__xludf.DUMMYFUNCTION("""COMPUTED_VALUE"""),"Pham 88816")</f>
        <v>Pham 88816</v>
      </c>
      <c r="D4" s="6"/>
    </row>
    <row r="5" spans="1:4" ht="15.75" customHeight="1" x14ac:dyDescent="0.15">
      <c r="A5" s="5" t="s">
        <v>4</v>
      </c>
      <c r="B5" s="6" t="str">
        <f ca="1">IFERROR(__xludf.DUMMYFUNCTION("""COMPUTED_VALUE"""),"Auxillium_33, Aikyam_32, Annalisa_30")</f>
        <v>Auxillium_33, Aikyam_32, Annalisa_30</v>
      </c>
      <c r="C5" s="6" t="str">
        <f ca="1">IFERROR(__xludf.DUMMYFUNCTION("""COMPUTED_VALUE"""),"Oregano_32")</f>
        <v>Oregano_32</v>
      </c>
      <c r="D5" s="6"/>
    </row>
    <row r="6" spans="1:4" ht="15.75" customHeight="1" x14ac:dyDescent="0.15">
      <c r="A6" s="5" t="s">
        <v>5</v>
      </c>
      <c r="B6" s="6" t="str">
        <f ca="1">IFERROR(__xludf.DUMMYFUNCTION("""COMPUTED_VALUE"""),"Both call")</f>
        <v>Both call</v>
      </c>
      <c r="C6" s="6" t="str">
        <f ca="1">IFERROR(__xludf.DUMMYFUNCTION("""COMPUTED_VALUE"""),"Both call 26530 start")</f>
        <v>Both call 26530 start</v>
      </c>
      <c r="D6" s="6"/>
    </row>
    <row r="7" spans="1:4" ht="15.75" customHeight="1" x14ac:dyDescent="0.15">
      <c r="A7" s="5" t="s">
        <v>6</v>
      </c>
      <c r="B7" s="6" t="str">
        <f ca="1">IFERROR(__xludf.DUMMYFUNCTION("""COMPUTED_VALUE"""),"Gene has good potential for the last 3/4, but a dip about a quarter of the way in. Start captures potential. ")</f>
        <v xml:space="preserve">Gene has good potential for the last 3/4, but a dip about a quarter of the way in. Start captures potential. </v>
      </c>
      <c r="C7" s="6" t="str">
        <f ca="1">IFERROR(__xludf.DUMMYFUNCTION("""COMPUTED_VALUE"""),"Gene has good coding potential including start")</f>
        <v>Gene has good coding potential including start</v>
      </c>
      <c r="D7" s="6"/>
    </row>
    <row r="8" spans="1:4" ht="15.75" customHeight="1" x14ac:dyDescent="0.15">
      <c r="A8" s="5" t="s">
        <v>7</v>
      </c>
      <c r="B8" s="6" t="str">
        <f ca="1">IFERROR(__xludf.DUMMYFUNCTION("""COMPUTED_VALUE"""),"Yes")</f>
        <v>Yes</v>
      </c>
      <c r="C8" s="6" t="str">
        <f ca="1">IFERROR(__xludf.DUMMYFUNCTION("""COMPUTED_VALUE"""),"Yes")</f>
        <v>Yes</v>
      </c>
      <c r="D8" s="6"/>
    </row>
    <row r="9" spans="1:4" ht="15.75" customHeight="1" x14ac:dyDescent="0.15">
      <c r="A9" s="5" t="s">
        <v>8</v>
      </c>
      <c r="B9" s="6" t="str">
        <f ca="1">IFERROR(__xludf.DUMMYFUNCTION("""COMPUTED_VALUE"""),"11 bp gap")</f>
        <v>11 bp gap</v>
      </c>
      <c r="C9" s="6" t="str">
        <f ca="1">IFERROR(__xludf.DUMMYFUNCTION("""COMPUTED_VALUE"""),"11 nucleotide gap")</f>
        <v>11 nucleotide gap</v>
      </c>
      <c r="D9" s="6"/>
    </row>
    <row r="10" spans="1:4" ht="15.75" customHeight="1" x14ac:dyDescent="0.15">
      <c r="A10" s="5" t="s">
        <v>9</v>
      </c>
      <c r="B10" s="6" t="str">
        <f ca="1">IFERROR(__xludf.DUMMYFUNCTION("""COMPUTED_VALUE"""),"Z = 1.823, final = -6.079. Not best scores, last start has best scores, Z = 2.851, final = -2.816. Called start has second-best Z score and third-best final scores. ")</f>
        <v xml:space="preserve">Z = 1.823, final = -6.079. Not best scores, last start has best scores, Z = 2.851, final = -2.816. Called start has second-best Z score and third-best final scores. </v>
      </c>
      <c r="C10" s="6" t="str">
        <f ca="1">IFERROR(__xludf.DUMMYFUNCTION("""COMPUTED_VALUE"""),"1.81 z-score, no best score, but best score has a low reading frame")</f>
        <v>1.81 z-score, no best score, but best score has a low reading frame</v>
      </c>
      <c r="D10" s="6"/>
    </row>
    <row r="11" spans="1:4" ht="15.75" customHeight="1" x14ac:dyDescent="0.15">
      <c r="A11" s="5" t="s">
        <v>10</v>
      </c>
      <c r="B11" s="6" t="str">
        <f ca="1">IFERROR(__xludf.DUMMYFUNCTION("""COMPUTED_VALUE"""),"BillyTP, identity = 93.97, e = 7e-62. Quinn Avery, identiy = 93.10, e = 7e-62. q1:s1 for both.")</f>
        <v>BillyTP, identity = 93.97, e = 7e-62. Quinn Avery, identiy = 93.10, e = 7e-62. q1:s1 for both.</v>
      </c>
      <c r="C11" s="6" t="str">
        <f ca="1">IFERROR(__xludf.DUMMYFUNCTION("""COMPUTED_VALUE"""),"BillyTP_36, e-value:1.3E-43, 108 identity, q1:166, s1:166")</f>
        <v>BillyTP_36, e-value:1.3E-43, 108 identity, q1:166, s1:166</v>
      </c>
      <c r="D11" s="6"/>
    </row>
    <row r="12" spans="1:4" ht="15.75" customHeight="1" x14ac:dyDescent="0.15">
      <c r="A12" s="5" t="s">
        <v>11</v>
      </c>
      <c r="B12" s="6" t="str">
        <f ca="1">IFERROR(__xludf.DUMMYFUNCTION("""COMPUTED_VALUE"""),"Found in 100% of the genes and called 90.9% of the time")</f>
        <v>Found in 100% of the genes and called 90.9% of the time</v>
      </c>
      <c r="C12" s="6" t="str">
        <f ca="1">IFERROR(__xludf.DUMMYFUNCTION("""COMPUTED_VALUE"""),"Conserved in all members of pham, called 90.9% of the time")</f>
        <v>Conserved in all members of pham, called 90.9% of the time</v>
      </c>
      <c r="D12" s="6"/>
    </row>
    <row r="13" spans="1:4" ht="15.75" customHeight="1" x14ac:dyDescent="0.15">
      <c r="A13" s="5" t="s">
        <v>12</v>
      </c>
      <c r="B13" s="6" t="str">
        <f ca="1">IFERROR(__xludf.DUMMYFUNCTION("""COMPUTED_VALUE"""),"No, even though start doesn't have the best scores, moving the start to the start with the best scores would have a very big overlap and would miss out on a bunch of coding potential. ")</f>
        <v xml:space="preserve">No, even though start doesn't have the best scores, moving the start to the start with the best scores would have a very big overlap and would miss out on a bunch of coding potential. </v>
      </c>
      <c r="C13" s="6" t="str">
        <f ca="1">IFERROR(__xludf.DUMMYFUNCTION("""COMPUTED_VALUE"""),"No")</f>
        <v>No</v>
      </c>
      <c r="D13" s="6"/>
    </row>
    <row r="14" spans="1:4" ht="15.75" customHeight="1" x14ac:dyDescent="0.15">
      <c r="A14" s="5" t="s">
        <v>13</v>
      </c>
      <c r="B14" s="6" t="str">
        <f ca="1">IFERROR(__xludf.DUMMYFUNCTION("""COMPUTED_VALUE"""),"BillyTP_36, e = 9e-58. Quinn_Avery_37, e = 5e-57..")</f>
        <v>BillyTP_36, e = 9e-58. Quinn_Avery_37, e = 5e-57..</v>
      </c>
      <c r="C14" s="6" t="str">
        <f ca="1">IFERROR(__xludf.DUMMYFUNCTION("""COMPUTED_VALUE"""),"BillyTP_36, 4e-61 e-value")</f>
        <v>BillyTP_36, 4e-61 e-value</v>
      </c>
      <c r="D14" s="6"/>
    </row>
    <row r="15" spans="1:4" ht="15.75" customHeight="1" x14ac:dyDescent="0.15">
      <c r="A15" s="5" t="s">
        <v>14</v>
      </c>
      <c r="B15" s="6" t="str">
        <f ca="1">IFERROR(__xludf.DUMMYFUNCTION("""COMPUTED_VALUE"""),"Helix-turn helix DNA binding domain")</f>
        <v>Helix-turn helix DNA binding domain</v>
      </c>
      <c r="C15" s="6" t="str">
        <f ca="1">IFERROR(__xludf.DUMMYFUNCTION("""COMPUTED_VALUE"""),"function unknown")</f>
        <v>function unknown</v>
      </c>
      <c r="D15" s="6"/>
    </row>
    <row r="16" spans="1:4" ht="15.75" customHeight="1" x14ac:dyDescent="0.15">
      <c r="A16" s="5" t="s">
        <v>15</v>
      </c>
      <c r="B16" s="6" t="str">
        <f ca="1">IFERROR(__xludf.DUMMYFUNCTION("""COMPUTED_VALUE"""),"Yes")</f>
        <v>Yes</v>
      </c>
      <c r="C16" s="6" t="str">
        <f ca="1">IFERROR(__xludf.DUMMYFUNCTION("""COMPUTED_VALUE"""),"Not found in Nandita, but found in BillyTP")</f>
        <v>Not found in Nandita, but found in BillyTP</v>
      </c>
      <c r="D16" s="6"/>
    </row>
    <row r="17" spans="1:4" ht="15.75" customHeight="1" x14ac:dyDescent="0.15">
      <c r="A17" s="5" t="s">
        <v>16</v>
      </c>
      <c r="B17" s="6" t="str">
        <f ca="1">IFERROR(__xludf.DUMMYFUNCTION("""COMPUTED_VALUE"""),"TrfB transcriptional repressor protein; Helix-turn-helix, complex, transcription; 2.5A {Escherichia coli}, probability =  97.12, aoq = 48.3, aot = 86.2. Functional domain in part of target part of alignment.")</f>
        <v>TrfB transcriptional repressor protein; Helix-turn-helix, complex, transcription; 2.5A {Escherichia coli}, probability =  97.12, aoq = 48.3, aot = 86.2. Functional domain in part of target part of alignment.</v>
      </c>
      <c r="C17" s="6" t="str">
        <f ca="1">IFERROR(__xludf.DUMMYFUNCTION("""COMPUTED_VALUE"""),"PF05344.16:; DUF746 ; Domain of Unknown Function (DUF746), 98.05% probability, 58.62% Q, 59.37% T, Functional domain not apart of alignment")</f>
        <v>PF05344.16:; DUF746 ; Domain of Unknown Function (DUF746), 98.05% probability, 58.62% Q, 59.37% T, Functional domain not apart of alignment</v>
      </c>
      <c r="D17" s="6"/>
    </row>
    <row r="18" spans="1:4" ht="15.75" customHeight="1" x14ac:dyDescent="0.15">
      <c r="A18" s="5" t="s">
        <v>17</v>
      </c>
      <c r="B18" s="6" t="str">
        <f ca="1">IFERROR(__xludf.DUMMYFUNCTION("""COMPUTED_VALUE"""),"No ")</f>
        <v xml:space="preserve">No </v>
      </c>
      <c r="C18" s="6" t="str">
        <f ca="1">IFERROR(__xludf.DUMMYFUNCTION("""COMPUTED_VALUE"""),"None")</f>
        <v>None</v>
      </c>
      <c r="D18" s="6"/>
    </row>
    <row r="19" spans="1:4" ht="15.75" customHeight="1" x14ac:dyDescent="0.15">
      <c r="A19" s="5" t="s">
        <v>18</v>
      </c>
      <c r="B19" s="6" t="str">
        <f ca="1">IFERROR(__xludf.DUMMYFUNCTION("""COMPUTED_VALUE"""),"No")</f>
        <v>No</v>
      </c>
      <c r="C19" s="6" t="str">
        <f ca="1">IFERROR(__xludf.DUMMYFUNCTION("""COMPUTED_VALUE"""),"None")</f>
        <v>None</v>
      </c>
      <c r="D19" s="6"/>
    </row>
    <row r="20" spans="1:4" ht="15.75" customHeight="1" x14ac:dyDescent="0.15">
      <c r="A20" s="5" t="s">
        <v>19</v>
      </c>
      <c r="B20" s="6" t="str">
        <f ca="1">IFERROR(__xludf.DUMMYFUNCTION("""COMPUTED_VALUE"""),"Helix-turn-helix binding domain, supported by HHPred, synteny, etc")</f>
        <v>Helix-turn-helix binding domain, supported by HHPred, synteny, etc</v>
      </c>
      <c r="C20" s="6" t="str">
        <f ca="1">IFERROR(__xludf.DUMMYFUNCTION("""COMPUTED_VALUE"""),"Hypothetical protein")</f>
        <v>Hypothetical protein</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IFERROR(__xludf.DUMMYFUNCTION("IMPORTRANGE(""https://docs.google.com/spreadsheets/d/12D2a8_yN9-M20Swe1qSSTzsOdHwl9WpMkqw3nyC2tRc"", ""S38!B1:B22"")"),"Noelle Labadens")</f>
        <v>Noelle Labadens</v>
      </c>
      <c r="C1" s="11" t="str">
        <f ca="1">IFERROR(__xludf.DUMMYFUNCTION("IMPORTRANGE(""https://docs.google.com/spreadsheets/d/1WNEoccD374LriG_Vfas93mZuqp-YxPt_JlqNi2GnBVU"", ""S38!B1:B22"")"),"Tyler Thibodeaux ")</f>
        <v xml:space="preserve">Tyler Thibodeaux </v>
      </c>
      <c r="D1" s="2" t="s">
        <v>0</v>
      </c>
    </row>
    <row r="2" spans="1:4" ht="15.75" customHeight="1" x14ac:dyDescent="0.15">
      <c r="A2" s="3" t="s">
        <v>1</v>
      </c>
      <c r="B2" s="4" t="str">
        <f ca="1">IFERROR(__xludf.DUMMYFUNCTION("""COMPUTED_VALUE"""),"27082-28002 FOR")</f>
        <v>27082-28002 FOR</v>
      </c>
      <c r="C2" s="4" t="str">
        <f ca="1">IFERROR(__xludf.DUMMYFUNCTION("""COMPUTED_VALUE"""),"28244 to 27999 (Reverse)")</f>
        <v>28244 to 27999 (Reverse)</v>
      </c>
      <c r="D2" s="4"/>
    </row>
    <row r="3" spans="1:4" ht="15.75" customHeight="1" x14ac:dyDescent="0.15">
      <c r="A3" s="5" t="s">
        <v>2</v>
      </c>
      <c r="B3" s="6" t="str">
        <f ca="1">IFERROR(__xludf.DUMMYFUNCTION("""COMPUTED_VALUE"""),"DNA Master: 37; Phamerator: 38")</f>
        <v>DNA Master: 37; Phamerator: 38</v>
      </c>
      <c r="C3" s="6" t="str">
        <f ca="1">IFERROR(__xludf.DUMMYFUNCTION("""COMPUTED_VALUE"""),"38 in DNAm and 39 in PHAM ")</f>
        <v xml:space="preserve">38 in DNAm and 39 in PHAM </v>
      </c>
      <c r="D3" s="6"/>
    </row>
    <row r="4" spans="1:4" ht="15.75" customHeight="1" x14ac:dyDescent="0.15">
      <c r="A4" s="5" t="s">
        <v>3</v>
      </c>
      <c r="B4" s="6" t="str">
        <f ca="1">IFERROR(__xludf.DUMMYFUNCTION("""COMPUTED_VALUE"""),"pham 227192 4/11/25")</f>
        <v>pham 227192 4/11/25</v>
      </c>
      <c r="C4" s="6" t="str">
        <f ca="1">IFERROR(__xludf.DUMMYFUNCTION("""COMPUTED_VALUE""")," pham 218467, 4-7-25")</f>
        <v xml:space="preserve"> pham 218467, 4-7-25</v>
      </c>
      <c r="D4" s="6"/>
    </row>
    <row r="5" spans="1:4" ht="15.75" customHeight="1" x14ac:dyDescent="0.15">
      <c r="A5" s="5" t="s">
        <v>4</v>
      </c>
      <c r="B5" s="6" t="str">
        <f ca="1">IFERROR(__xludf.DUMMYFUNCTION("""COMPUTED_VALUE"""),"244_53, Adnama_56")</f>
        <v>244_53, Adnama_56</v>
      </c>
      <c r="C5" s="6" t="str">
        <f ca="1">IFERROR(__xludf.DUMMYFUNCTION("""COMPUTED_VALUE"""),"Nandita_37")</f>
        <v>Nandita_37</v>
      </c>
      <c r="D5" s="6"/>
    </row>
    <row r="6" spans="1:4" ht="15.75" customHeight="1" x14ac:dyDescent="0.15">
      <c r="A6" s="5" t="s">
        <v>5</v>
      </c>
      <c r="B6" s="6" t="str">
        <f ca="1">IFERROR(__xludf.DUMMYFUNCTION("""COMPUTED_VALUE"""),"both")</f>
        <v>both</v>
      </c>
      <c r="C6" s="6" t="str">
        <f ca="1">IFERROR(__xludf.DUMMYFUNCTION("""COMPUTED_VALUE"""),"Original Glimmer call @bp 28244. BOTH CALL ")</f>
        <v xml:space="preserve">Original Glimmer call @bp 28244. BOTH CALL </v>
      </c>
      <c r="D6" s="6"/>
    </row>
    <row r="7" spans="1:4" ht="15.75" customHeight="1" x14ac:dyDescent="0.15">
      <c r="A7" s="5" t="s">
        <v>6</v>
      </c>
      <c r="B7" s="6" t="str">
        <f ca="1">IFERROR(__xludf.DUMMYFUNCTION("""COMPUTED_VALUE"""),"decent coding potential, captures all gene")</f>
        <v>decent coding potential, captures all gene</v>
      </c>
      <c r="C7" s="6" t="str">
        <f ca="1">IFERROR(__xludf.DUMMYFUNCTION("""COMPUTED_VALUE"""),"There is coding potential, but it is bad. ")</f>
        <v xml:space="preserve">There is coding potential, but it is bad. </v>
      </c>
      <c r="D7" s="6"/>
    </row>
    <row r="8" spans="1:4" ht="15.75" customHeight="1" x14ac:dyDescent="0.15">
      <c r="A8" s="5" t="s">
        <v>7</v>
      </c>
      <c r="B8" s="6" t="str">
        <f ca="1">IFERROR(__xludf.DUMMYFUNCTION("""COMPUTED_VALUE"""),"no, one before at 27040")</f>
        <v>no, one before at 27040</v>
      </c>
      <c r="C8" s="6" t="str">
        <f ca="1">IFERROR(__xludf.DUMMYFUNCTION("""COMPUTED_VALUE"""),"Longest possible")</f>
        <v>Longest possible</v>
      </c>
      <c r="D8" s="6"/>
    </row>
    <row r="9" spans="1:4" ht="15.75" customHeight="1" x14ac:dyDescent="0.15">
      <c r="A9" s="5" t="s">
        <v>8</v>
      </c>
      <c r="B9" s="6" t="str">
        <f ca="1">IFERROR(__xludf.DUMMYFUNCTION("""COMPUTED_VALUE"""),"202 nt gap")</f>
        <v>202 nt gap</v>
      </c>
      <c r="C9" s="6" t="str">
        <f ca="1">IFERROR(__xludf.DUMMYFUNCTION("""COMPUTED_VALUE"""),"26 gap")</f>
        <v>26 gap</v>
      </c>
      <c r="D9" s="6"/>
    </row>
    <row r="10" spans="1:4" ht="15.75" customHeight="1" x14ac:dyDescent="0.15">
      <c r="A10" s="5" t="s">
        <v>9</v>
      </c>
      <c r="B10" s="6" t="str">
        <f ca="1">IFERROR(__xludf.DUMMYFUNCTION("""COMPUTED_VALUE"""),"z score- 2.591")</f>
        <v>z score- 2.591</v>
      </c>
      <c r="C10" s="6" t="str">
        <f ca="1">IFERROR(__xludf.DUMMYFUNCTION("""COMPUTED_VALUE"""),"Zscore=1.3. It is one of the best. It is very bad ")</f>
        <v xml:space="preserve">Zscore=1.3. It is one of the best. It is very bad </v>
      </c>
      <c r="D10" s="6"/>
    </row>
    <row r="11" spans="1:4" ht="15.75" customHeight="1" x14ac:dyDescent="0.15">
      <c r="A11" s="5" t="s">
        <v>10</v>
      </c>
      <c r="B11" s="6" t="str">
        <f ca="1">IFERROR(__xludf.DUMMYFUNCTION("""COMPUTED_VALUE"""),"Zaheer_36, 100%, e-172, q:1 s:1")</f>
        <v>Zaheer_36, 100%, e-172, q:1 s:1</v>
      </c>
      <c r="C11" s="6" t="str">
        <f ca="1">IFERROR(__xludf.DUMMYFUNCTION("""COMPUTED_VALUE"""),"helix-turn-helix DNA-binding protein [Arthrobacter phage Nandita]. 97.53% identity, e= 6e^-51, q1=s1")</f>
        <v>helix-turn-helix DNA-binding protein [Arthrobacter phage Nandita]. 97.53% identity, e= 6e^-51, q1=s1</v>
      </c>
      <c r="D11" s="6"/>
    </row>
    <row r="12" spans="1:4" ht="15.75" customHeight="1" x14ac:dyDescent="0.15">
      <c r="A12" s="5" t="s">
        <v>11</v>
      </c>
      <c r="B12" s="6" t="str">
        <f ca="1">IFERROR(__xludf.DUMMYFUNCTION("""COMPUTED_VALUE"""),"no, 87% of the time.")</f>
        <v>no, 87% of the time.</v>
      </c>
      <c r="C12" s="6" t="str">
        <f ca="1">IFERROR(__xludf.DUMMYFUNCTION("""COMPUTED_VALUE"""),"Conserved in a 1/4 of the members, and called 87% of the time")</f>
        <v>Conserved in a 1/4 of the members, and called 87% of the time</v>
      </c>
      <c r="D12" s="6"/>
    </row>
    <row r="13" spans="1:4" ht="15.75" customHeight="1" x14ac:dyDescent="0.15">
      <c r="A13" s="5" t="s">
        <v>12</v>
      </c>
      <c r="B13" s="6" t="str">
        <f ca="1">IFERROR(__xludf.DUMMYFUNCTION("""COMPUTED_VALUE"""),"no. even though there's a start befire it really doesnt close the gap much more. coding is good and the  z score is much better than the earlier start. It matches up well with the blast hits.")</f>
        <v>no. even though there's a start befire it really doesnt close the gap much more. coding is good and the  z score is much better than the earlier start. It matches up well with the blast hits.</v>
      </c>
      <c r="C13" s="6" t="str">
        <f ca="1">IFERROR(__xludf.DUMMYFUNCTION("""COMPUTED_VALUE"""),"No")</f>
        <v>No</v>
      </c>
      <c r="D13" s="6"/>
    </row>
    <row r="14" spans="1:4" ht="15.75" customHeight="1" x14ac:dyDescent="0.15">
      <c r="A14" s="5" t="s">
        <v>13</v>
      </c>
      <c r="B14" s="6" t="str">
        <f ca="1">IFERROR(__xludf.DUMMYFUNCTION("""COMPUTED_VALUE"""),"Zaheer_36, e-172")</f>
        <v>Zaheer_36, e-172</v>
      </c>
      <c r="C14" s="6" t="str">
        <f ca="1">IFERROR(__xludf.DUMMYFUNCTION("""COMPUTED_VALUE"""),"Nandita_37, e= 8e^-41")</f>
        <v>Nandita_37, e= 8e^-41</v>
      </c>
      <c r="D14" s="6"/>
    </row>
    <row r="15" spans="1:4" ht="15.75" customHeight="1" x14ac:dyDescent="0.15">
      <c r="A15" s="5" t="s">
        <v>14</v>
      </c>
      <c r="B15" s="6" t="str">
        <f ca="1">IFERROR(__xludf.DUMMYFUNCTION("""COMPUTED_VALUE"""),"tyrosine integrase")</f>
        <v>tyrosine integrase</v>
      </c>
      <c r="C15" s="6" t="str">
        <f ca="1">IFERROR(__xludf.DUMMYFUNCTION("""COMPUTED_VALUE"""),"Nandita_37, helix-turn-helix DNA-binding protein")</f>
        <v>Nandita_37, helix-turn-helix DNA-binding protein</v>
      </c>
      <c r="D15" s="6"/>
    </row>
    <row r="16" spans="1:4" ht="15.75" customHeight="1" x14ac:dyDescent="0.15">
      <c r="A16" s="5" t="s">
        <v>15</v>
      </c>
      <c r="B16" s="6" t="str">
        <f ca="1">IFERROR(__xludf.DUMMYFUNCTION("""COMPUTED_VALUE"""),"The genes are similar, but the synteny right beside them is off. A little farther out, the synteny is good.")</f>
        <v>The genes are similar, but the synteny right beside them is off. A little farther out, the synteny is good.</v>
      </c>
      <c r="C16" s="6" t="str">
        <f ca="1">IFERROR(__xludf.DUMMYFUNCTION("""COMPUTED_VALUE"""),"It is in the same genetic enviornment as a nandita")</f>
        <v>It is in the same genetic enviornment as a nandita</v>
      </c>
      <c r="D16" s="6"/>
    </row>
    <row r="17" spans="1:4" ht="15.75" customHeight="1" x14ac:dyDescent="0.15">
      <c r="A17" s="5" t="s">
        <v>16</v>
      </c>
      <c r="B17" s="6" t="str">
        <f ca="1">IFERROR(__xludf.DUMMYFUNCTION("""COMPUTED_VALUE"""),"Int protein; transposase protein-DNA complex, tyrosine recombinase, Y-transposase, Tn916-like conjugative transposon, antibiotic resistance transfer, RECOMBINATION; 2.5A {Enterococcus faecalis}; 100%;  q: 92.5%, t: 89.3%; yes; no")</f>
        <v>Int protein; transposase protein-DNA complex, tyrosine recombinase, Y-transposase, Tn916-like conjugative transposon, antibiotic resistance transfer, RECOMBINATION; 2.5A {Enterococcus faecalis}; 100%;  q: 92.5%, t: 89.3%; yes; no</v>
      </c>
      <c r="C17" s="6" t="str">
        <f ca="1">IFERROR(__xludf.DUMMYFUNCTION("""COMPUTED_VALUE"""),"XRE-family like protein; helix-turn-helix DNA binding protein. 	Probability: 98.84%, E-value: 4.1e-7. Q%= 1.2%, %T= 1.1%. Functional Domain is in the target allignment. ")</f>
        <v xml:space="preserve">XRE-family like protein; helix-turn-helix DNA binding protein. 	Probability: 98.84%, E-value: 4.1e-7. Q%= 1.2%, %T= 1.1%. Functional Domain is in the target allignment. </v>
      </c>
      <c r="D17" s="6"/>
    </row>
    <row r="18" spans="1:4" ht="15.75" customHeight="1" x14ac:dyDescent="0.15">
      <c r="A18" s="5" t="s">
        <v>17</v>
      </c>
      <c r="B18" s="6" t="str">
        <f ca="1">IFERROR(__xludf.DUMMYFUNCTION("""COMPUTED_VALUE"""),"a lot! XerD, Phage_integrase, etc.")</f>
        <v>a lot! XerD, Phage_integrase, etc.</v>
      </c>
      <c r="C18" s="6" t="str">
        <f ca="1">IFERROR(__xludf.DUMMYFUNCTION("""COMPUTED_VALUE"""),"HTH_XRE")</f>
        <v>HTH_XRE</v>
      </c>
      <c r="D18" s="6"/>
    </row>
    <row r="19" spans="1:4" ht="15.75" customHeight="1" x14ac:dyDescent="0.15">
      <c r="A19" s="5" t="s">
        <v>18</v>
      </c>
      <c r="B19" s="6" t="str">
        <f ca="1">IFERROR(__xludf.DUMMYFUNCTION("""COMPUTED_VALUE"""),"none")</f>
        <v>none</v>
      </c>
      <c r="C19" s="6" t="str">
        <f ca="1">IFERROR(__xludf.DUMMYFUNCTION("""COMPUTED_VALUE"""),"none")</f>
        <v>none</v>
      </c>
      <c r="D19" s="6"/>
    </row>
    <row r="20" spans="1:4" ht="15.75" customHeight="1" x14ac:dyDescent="0.15">
      <c r="A20" s="5" t="s">
        <v>19</v>
      </c>
      <c r="B20" s="6" t="str">
        <f ca="1">IFERROR(__xludf.DUMMYFUNCTION("""COMPUTED_VALUE"""),"tyrosine integrase; even though the synteny isn't perfect, the gene lines up and is similar to Zaheer. A lot of the functions in this pham are tyrosine integrase. In HHpred, there were a lot of 100% matches with tyrosine and similar functions.")</f>
        <v>tyrosine integrase; even though the synteny isn't perfect, the gene lines up and is similar to Zaheer. A lot of the functions in this pham are tyrosine integrase. In HHpred, there were a lot of 100% matches with tyrosine and similar functions.</v>
      </c>
      <c r="C20" s="6" t="str">
        <f ca="1">IFERROR(__xludf.DUMMYFUNCTION("""COMPUTED_VALUE"""),"helix-turn-helix DNA binding domain. This is due to the HHpred, NCBI blast, and Phagesdb blast. The syteny also supports the idea")</f>
        <v>helix-turn-helix DNA binding domain. This is due to the HHpred, NCBI blast, and Phagesdb blast. The syteny also supports the idea</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IFERROR(__xludf.DUMMYFUNCTION("IMPORTRANGE(""https://docs.google.com/spreadsheets/d/118rN356SVQ9wRlO8Wn-8gpg7SdHsE4vm-XldkW2-iEo"", ""S39!B1:B22"")"),"McKinzie Novak")</f>
        <v>McKinzie Novak</v>
      </c>
      <c r="C1" s="11" t="str">
        <f ca="1">IFERROR(__xludf.DUMMYFUNCTION("IMPORTRANGE(""https://docs.google.com/spreadsheets/d/19cQ7zWvMqLBhgqC8nl5nOal4YuMd-mbE3bz8Irjnl7E"", ""S39!B1:B22"")"),"Jake Stafford")</f>
        <v>Jake Stafford</v>
      </c>
      <c r="D1" s="2" t="s">
        <v>0</v>
      </c>
    </row>
    <row r="2" spans="1:4" ht="15.75" customHeight="1" x14ac:dyDescent="0.15">
      <c r="A2" s="3" t="s">
        <v>1</v>
      </c>
      <c r="B2" s="4" t="str">
        <f ca="1">IFERROR(__xludf.DUMMYFUNCTION("""COMPUTED_VALUE"""),"START: 28244
STOP: 27999
REVERSE")</f>
        <v>START: 28244
STOP: 27999
REVERSE</v>
      </c>
      <c r="C2" s="4" t="str">
        <f ca="1">IFERROR(__xludf.DUMMYFUNCTION("""COMPUTED_VALUE"""),"Start:28244 Stop:27999 REV")</f>
        <v>Start:28244 Stop:27999 REV</v>
      </c>
      <c r="D2" s="4"/>
    </row>
    <row r="3" spans="1:4" ht="15.75" customHeight="1" x14ac:dyDescent="0.15">
      <c r="A3" s="5" t="s">
        <v>2</v>
      </c>
      <c r="B3" s="6" t="str">
        <f ca="1">IFERROR(__xludf.DUMMYFUNCTION("""COMPUTED_VALUE"""),"DNAM: 38
PHAM: 39
Phagesdb: 39")</f>
        <v>DNAM: 38
PHAM: 39
Phagesdb: 39</v>
      </c>
      <c r="C3" s="6" t="str">
        <f ca="1">IFERROR(__xludf.DUMMYFUNCTION("""COMPUTED_VALUE"""),"39 in PHAM, 38 in DNAM")</f>
        <v>39 in PHAM, 38 in DNAM</v>
      </c>
      <c r="D3" s="6"/>
    </row>
    <row r="4" spans="1:4" ht="15.75" customHeight="1" x14ac:dyDescent="0.15">
      <c r="A4" s="5" t="s">
        <v>3</v>
      </c>
      <c r="B4" s="6" t="str">
        <f ca="1">IFERROR(__xludf.DUMMYFUNCTION("""COMPUTED_VALUE"""),"#218467   4/11/25")</f>
        <v>#218467   4/11/25</v>
      </c>
      <c r="C4" s="6" t="str">
        <f ca="1">IFERROR(__xludf.DUMMYFUNCTION("""COMPUTED_VALUE"""),"218467 4/7/25")</f>
        <v>218467 4/7/25</v>
      </c>
      <c r="D4" s="6"/>
    </row>
    <row r="5" spans="1:4" ht="15.75" customHeight="1" x14ac:dyDescent="0.15">
      <c r="A5" s="5" t="s">
        <v>4</v>
      </c>
      <c r="B5" s="6" t="str">
        <f ca="1">IFERROR(__xludf.DUMMYFUNCTION("""COMPUTED_VALUE"""),"Popper #35, Nandita #37, Ryan #37")</f>
        <v>Popper #35, Nandita #37, Ryan #37</v>
      </c>
      <c r="C5" s="6" t="str">
        <f ca="1">IFERROR(__xludf.DUMMYFUNCTION("""COMPUTED_VALUE"""),"Berka_21, Cole_35")</f>
        <v>Berka_21, Cole_35</v>
      </c>
      <c r="D5" s="6"/>
    </row>
    <row r="6" spans="1:4" ht="15.75" customHeight="1" x14ac:dyDescent="0.15">
      <c r="A6" s="5" t="s">
        <v>5</v>
      </c>
      <c r="B6" s="6" t="str">
        <f ca="1">IFERROR(__xludf.DUMMYFUNCTION("""COMPUTED_VALUE"""),"Glimmer and genemark both call the start at 28244")</f>
        <v>Glimmer and genemark both call the start at 28244</v>
      </c>
      <c r="C6" s="6" t="str">
        <f ca="1">IFERROR(__xludf.DUMMYFUNCTION("""COMPUTED_VALUE"""),"both called same start")</f>
        <v>both called same start</v>
      </c>
      <c r="D6" s="6"/>
    </row>
    <row r="7" spans="1:4" ht="15.75" customHeight="1" x14ac:dyDescent="0.15">
      <c r="A7" s="5" t="s">
        <v>6</v>
      </c>
      <c r="B7" s="6" t="str">
        <f ca="1">IFERROR(__xludf.DUMMYFUNCTION("""COMPUTED_VALUE"""),"Coding potential is relatively absent in the front and back of the gene, but it is clear in the middle &amp; included.")</f>
        <v>Coding potential is relatively absent in the front and back of the gene, but it is clear in the middle &amp; included.</v>
      </c>
      <c r="C7" s="6" t="str">
        <f ca="1">IFERROR(__xludf.DUMMYFUNCTION("""COMPUTED_VALUE"""),"has coding potential, all is included with his start")</f>
        <v>has coding potential, all is included with his start</v>
      </c>
      <c r="D7" s="6"/>
    </row>
    <row r="8" spans="1:4" ht="15.75" customHeight="1" x14ac:dyDescent="0.15">
      <c r="A8" s="5" t="s">
        <v>7</v>
      </c>
      <c r="B8" s="6" t="str">
        <f ca="1">IFERROR(__xludf.DUMMYFUNCTION("""COMPUTED_VALUE"""),"Yes this start is the longest ORF")</f>
        <v>Yes this start is the longest ORF</v>
      </c>
      <c r="C8" s="6" t="str">
        <f ca="1">IFERROR(__xludf.DUMMYFUNCTION("""COMPUTED_VALUE"""),"longest orf")</f>
        <v>longest orf</v>
      </c>
      <c r="D8" s="6"/>
    </row>
    <row r="9" spans="1:4" ht="15.75" customHeight="1" x14ac:dyDescent="0.15">
      <c r="A9" s="5" t="s">
        <v>8</v>
      </c>
      <c r="B9" s="6" t="str">
        <f ca="1">IFERROR(__xludf.DUMMYFUNCTION("""COMPUTED_VALUE"""),"There is a 3 basepair overlap with the previous gene but they are both stops, from the back, there is a tRNA nowhere near the start.")</f>
        <v>There is a 3 basepair overlap with the previous gene but they are both stops, from the back, there is a tRNA nowhere near the start.</v>
      </c>
      <c r="C9" s="6" t="str">
        <f ca="1">IFERROR(__xludf.DUMMYFUNCTION("""COMPUTED_VALUE"""),"Overlap of 1 nucleotide")</f>
        <v>Overlap of 1 nucleotide</v>
      </c>
      <c r="D9" s="6"/>
    </row>
    <row r="10" spans="1:4" ht="15.75" customHeight="1" x14ac:dyDescent="0.15">
      <c r="A10" s="5" t="s">
        <v>9</v>
      </c>
      <c r="B10" s="6" t="str">
        <f ca="1">IFERROR(__xludf.DUMMYFUNCTION("""COMPUTED_VALUE"""),"Start:28244 z-score:1.384 rbs:-7.5")</f>
        <v>Start:28244 z-score:1.384 rbs:-7.5</v>
      </c>
      <c r="C10" s="6" t="str">
        <f ca="1">IFERROR(__xludf.DUMMYFUNCTION("""COMPUTED_VALUE"""),"z-score: 1.384 f-score: -7.506 not the best score. if start moved it would create a gap over 30 nucleotides")</f>
        <v>z-score: 1.384 f-score: -7.506 not the best score. if start moved it would create a gap over 30 nucleotides</v>
      </c>
      <c r="D10" s="6"/>
    </row>
    <row r="11" spans="1:4" ht="15.75" customHeight="1" x14ac:dyDescent="0.15">
      <c r="A11" s="5" t="s">
        <v>10</v>
      </c>
      <c r="B11" s="6" t="str">
        <f ca="1">IFERROR(__xludf.DUMMYFUNCTION("""COMPUTED_VALUE"""),"Nandita#37 %ID:97.5 e-val:4.6e-34
Q:1 S:1
Ryan#37 %ID:96.3 e-val:4.3e-33
Q:1 S:1
Popper#35 %ID:98.8 e-val:4.4e-34
Q:1 S:1")</f>
        <v>Nandita#37 %ID:97.5 e-val:4.6e-34
Q:1 S:1
Ryan#37 %ID:96.3 e-val:4.3e-33
Q:1 S:1
Popper#35 %ID:98.8 e-val:4.4e-34
Q:1 S:1</v>
      </c>
      <c r="C11" s="6" t="str">
        <f ca="1">IFERROR(__xludf.DUMMYFUNCTION("""COMPUTED_VALUE"""),"Nandita_37, 97.53% identity. Popper_35, 98.77% identity")</f>
        <v>Nandita_37, 97.53% identity. Popper_35, 98.77% identity</v>
      </c>
      <c r="D11" s="6"/>
    </row>
    <row r="12" spans="1:4" ht="15.75" customHeight="1" x14ac:dyDescent="0.15">
      <c r="A12" s="5" t="s">
        <v>11</v>
      </c>
      <c r="B12" s="6" t="str">
        <f ca="1">IFERROR(__xludf.DUMMYFUNCTION("""COMPUTED_VALUE"""),"Yes, the start is conserved in the gene. All FF phages call this start (#2) 97.1 percent of the time.")</f>
        <v>Yes, the start is conserved in the gene. All FF phages call this start (#2) 97.1 percent of the time.</v>
      </c>
      <c r="C12" s="6" t="str">
        <f ca="1">IFERROR(__xludf.DUMMYFUNCTION("""COMPUTED_VALUE"""),"found in 100%, called 91.7% of the time")</f>
        <v>found in 100%, called 91.7% of the time</v>
      </c>
      <c r="D12" s="6"/>
    </row>
    <row r="13" spans="1:4" ht="15.75" customHeight="1" x14ac:dyDescent="0.15">
      <c r="A13" s="5" t="s">
        <v>12</v>
      </c>
      <c r="B13" s="6" t="str">
        <f ca="1">IFERROR(__xludf.DUMMYFUNCTION("""COMPUTED_VALUE"""),"No, it has the highest z-score and starterator conserves it well, there is no need to move it and produce a larger gap ")</f>
        <v xml:space="preserve">No, it has the highest z-score and starterator conserves it well, there is no need to move it and produce a larger gap </v>
      </c>
      <c r="C13" s="6" t="str">
        <f ca="1">IFERROR(__xludf.DUMMYFUNCTION("""COMPUTED_VALUE"""),"Start not changed, good orf, moving start would create a large gap, called most of the time")</f>
        <v>Start not changed, good orf, moving start would create a large gap, called most of the time</v>
      </c>
      <c r="D13" s="6"/>
    </row>
    <row r="14" spans="1:4" ht="15.75" customHeight="1" x14ac:dyDescent="0.15">
      <c r="A14" s="5" t="s">
        <v>13</v>
      </c>
      <c r="B14" s="6" t="str">
        <f ca="1">IFERROR(__xludf.DUMMYFUNCTION("""COMPUTED_VALUE"""),"Nandita #37 e-val:4.6e-34
Ryan #37 e-val:4.3e-33
Popper #35  e-val:4.4e-34")</f>
        <v>Nandita #37 e-val:4.6e-34
Ryan #37 e-val:4.3e-33
Popper #35  e-val:4.4e-34</v>
      </c>
      <c r="C14" s="6" t="str">
        <f ca="1">IFERROR(__xludf.DUMMYFUNCTION("""COMPUTED_VALUE"""),"Guinevera_37, 2e-41. GoodLuckBabe_37, 2e-41")</f>
        <v>Guinevera_37, 2e-41. GoodLuckBabe_37, 2e-41</v>
      </c>
      <c r="D14" s="6"/>
    </row>
    <row r="15" spans="1:4" ht="15.75" customHeight="1" x14ac:dyDescent="0.15">
      <c r="A15" s="5" t="s">
        <v>14</v>
      </c>
      <c r="B15" s="6" t="str">
        <f ca="1">IFERROR(__xludf.DUMMYFUNCTION("""COMPUTED_VALUE"""),"Nandita #37 (helix-turn-helix DNA-binding protein)
Ryan #37 (helix-turn-helix DNA-binding protein)
Popper #35 (immunity repressor protein)")</f>
        <v>Nandita #37 (helix-turn-helix DNA-binding protein)
Ryan #37 (helix-turn-helix DNA-binding protein)
Popper #35 (immunity repressor protein)</v>
      </c>
      <c r="C15" s="6" t="str">
        <f ca="1">IFERROR(__xludf.DUMMYFUNCTION("""COMPUTED_VALUE"""),"Both have unknown functions")</f>
        <v>Both have unknown functions</v>
      </c>
      <c r="D15" s="6"/>
    </row>
    <row r="16" spans="1:4" ht="15.75" customHeight="1" x14ac:dyDescent="0.15">
      <c r="A16" s="5" t="s">
        <v>15</v>
      </c>
      <c r="B16" s="6" t="str">
        <f ca="1">IFERROR(__xludf.DUMMYFUNCTION("""COMPUTED_VALUE"""),"Yes, the gene fits in its genetic environment. there is an adjacent integrase to the left and a hypothetical protein to the right; it also has a good alignment.")</f>
        <v>Yes, the gene fits in its genetic environment. there is an adjacent integrase to the left and a hypothetical protein to the right; it also has a good alignment.</v>
      </c>
      <c r="C16" s="6" t="str">
        <f ca="1">IFERROR(__xludf.DUMMYFUNCTION("""COMPUTED_VALUE"""),"Same arrangement, however, the genes are located slightly further in the sequence in Schism compared to Nandita")</f>
        <v>Same arrangement, however, the genes are located slightly further in the sequence in Schism compared to Nandita</v>
      </c>
      <c r="D16" s="6"/>
    </row>
    <row r="17" spans="1:4" ht="15.75" customHeight="1" x14ac:dyDescent="0.15">
      <c r="A17" s="5" t="s">
        <v>16</v>
      </c>
      <c r="B17" s="6" t="str">
        <f ca="1">IFERROR(__xludf.DUMMYFUNCTION("""COMPUTED_VALUE"""),"DESC: ComR; Streptococcus, Competence, Quorum sensing, ComR, TRANSCRIPTION REGULATOR; 2.9A {Streptococcus suis (strain 05ZYH33
Prob:99.13 %ALT:20.68 %ALQ:82.7
There is no domain the binding is disordered. (needs more research) but it fully aligns with hel"&amp;"ix turn helix domains!")</f>
        <v>DESC: ComR; Streptococcus, Competence, Quorum sensing, ComR, TRANSCRIPTION REGULATOR; 2.9A {Streptococcus suis (strain 05ZYH33
Prob:99.13 %ALT:20.68 %ALQ:82.7
There is no domain the binding is disordered. (needs more research) but it fully aligns with helix turn helix domains!</v>
      </c>
      <c r="C17" s="6" t="str">
        <f ca="1">IFERROR(__xludf.DUMMYFUNCTION("""COMPUTED_VALUE"""),"XRE-family like protein; helix-turn-helix DNA binding protein xenobiotic response element family of transcriptional regu. 98.67% probability, 92.59% allq, 90.36% allt. Functional domain is within the target part of the alignment.")</f>
        <v>XRE-family like protein; helix-turn-helix DNA binding protein xenobiotic response element family of transcriptional regu. 98.67% probability, 92.59% allq, 90.36% allt. Functional domain is within the target part of the alignment.</v>
      </c>
      <c r="D17" s="6"/>
    </row>
    <row r="18" spans="1:4" ht="15.75" customHeight="1" x14ac:dyDescent="0.15">
      <c r="A18" s="5" t="s">
        <v>17</v>
      </c>
      <c r="B18" s="6" t="str">
        <f ca="1">IFERROR(__xludf.DUMMYFUNCTION("""COMPUTED_VALUE"""),"Trp_repressor, COG1395, PRK09726, HTH_19, HipB, PRK04140, HTH_XRE, HTH_3, HTH_31 (mostly helix turn helix domains)")</f>
        <v>Trp_repressor, COG1395, PRK09726, HTH_19, HipB, PRK04140, HTH_XRE, HTH_3, HTH_31 (mostly helix turn helix domains)</v>
      </c>
      <c r="C18" s="6" t="str">
        <f ca="1">IFERROR(__xludf.DUMMYFUNCTION("""COMPUTED_VALUE"""),"PRK09706
Trp_repressor
PRK13355
HTH_XRE
HTH_XRE
PRK04140
PRK09726
COG1709
Uncharacterized_protei...
HipB
HTH_3
HTH_31
HTH_19
COG1395")</f>
        <v>PRK09706
Trp_repressor
PRK13355
HTH_XRE
HTH_XRE
PRK04140
PRK09726
COG1709
Uncharacterized_protei...
HipB
HTH_3
HTH_31
HTH_19
COG1395</v>
      </c>
      <c r="D18" s="6"/>
    </row>
    <row r="19" spans="1:4" ht="15.75" customHeight="1" x14ac:dyDescent="0.15">
      <c r="A19" s="5" t="s">
        <v>18</v>
      </c>
      <c r="B19" s="6" t="str">
        <f ca="1">IFERROR(__xludf.DUMMYFUNCTION("""COMPUTED_VALUE"""),"None.")</f>
        <v>None.</v>
      </c>
      <c r="C19" s="6" t="str">
        <f ca="1">IFERROR(__xludf.DUMMYFUNCTION("""COMPUTED_VALUE"""),"none")</f>
        <v>none</v>
      </c>
      <c r="D19" s="6"/>
    </row>
    <row r="20" spans="1:4" ht="15.75" customHeight="1" x14ac:dyDescent="0.15">
      <c r="A20" s="5" t="s">
        <v>19</v>
      </c>
      <c r="B20" s="6" t="str">
        <f ca="1">IFERROR(__xludf.DUMMYFUNCTION("""COMPUTED_VALUE"""),"Helix-turn-Helix DNA-binding protein")</f>
        <v>Helix-turn-Helix DNA-binding protein</v>
      </c>
      <c r="C20" s="6" t="str">
        <f ca="1">IFERROR(__xludf.DUMMYFUNCTION("""COMPUTED_VALUE"""),"I think this gene is a helix-turn-helix DNA binding protein because many of the homologous phages share this function, it has good synetny with Nandita_37 which has this function.")</f>
        <v>I think this gene is a helix-turn-helix DNA binding protein because many of the homologous phages share this function, it has good synetny with Nandita_37 which has this function.</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IFERROR(__xludf.DUMMYFUNCTION("IMPORTRANGE(""https://docs.google.com/spreadsheets/d/1u6ZP_AyBJKGOZ-m1erEe8ylMC_0IEsUBTvQJRRPiF5g"", ""S40!B1:B22"")"),"Erin Loudermilk")</f>
        <v>Erin Loudermilk</v>
      </c>
      <c r="C1" s="11" t="str">
        <f ca="1">IFERROR(__xludf.DUMMYFUNCTION("IMPORTRANGE(""https://docs.google.com/spreadsheets/d/19cQ7zWvMqLBhgqC8nl5nOal4YuMd-mbE3bz8Irjnl7E"", ""S40!B1:B22"")"),"Jake Stafford")</f>
        <v>Jake Stafford</v>
      </c>
      <c r="D1" s="2" t="s">
        <v>0</v>
      </c>
    </row>
    <row r="2" spans="1:4" ht="15.75" customHeight="1" x14ac:dyDescent="0.15">
      <c r="A2" s="3" t="s">
        <v>1</v>
      </c>
      <c r="B2" s="4" t="str">
        <f ca="1">IFERROR(__xludf.DUMMYFUNCTION("""COMPUTED_VALUE"""),"28294-28367")</f>
        <v>28294-28367</v>
      </c>
      <c r="C2" s="4" t="str">
        <f ca="1">IFERROR(__xludf.DUMMYFUNCTION("""COMPUTED_VALUE"""),"Start: 28294 Stop:28367 FOR")</f>
        <v>Start: 28294 Stop:28367 FOR</v>
      </c>
      <c r="D2" s="4"/>
    </row>
    <row r="3" spans="1:4" ht="15.75" customHeight="1" x14ac:dyDescent="0.15">
      <c r="A3" s="5" t="s">
        <v>2</v>
      </c>
      <c r="B3" s="6" t="str">
        <f ca="1">IFERROR(__xludf.DUMMYFUNCTION("""COMPUTED_VALUE"""),"DNA: between 38 and 39 Pham: 40")</f>
        <v>DNA: between 38 and 39 Pham: 40</v>
      </c>
      <c r="C3" s="6" t="str">
        <f ca="1">IFERROR(__xludf.DUMMYFUNCTION("""COMPUTED_VALUE"""),"No # in PHAM or DNAM")</f>
        <v>No # in PHAM or DNAM</v>
      </c>
      <c r="D3" s="6"/>
    </row>
    <row r="4" spans="1:4" ht="15.75" customHeight="1" x14ac:dyDescent="0.15">
      <c r="A4" s="5" t="s">
        <v>3</v>
      </c>
      <c r="B4" s="6" t="str">
        <f ca="1">IFERROR(__xludf.DUMMYFUNCTION("""COMPUTED_VALUE"""),"tRNA, no Pham")</f>
        <v>tRNA, no Pham</v>
      </c>
      <c r="C4" s="6"/>
      <c r="D4" s="6"/>
    </row>
    <row r="5" spans="1:4" ht="15.75" customHeight="1" x14ac:dyDescent="0.15">
      <c r="A5" s="5" t="s">
        <v>4</v>
      </c>
      <c r="B5" s="6" t="str">
        <f ca="1">IFERROR(__xludf.DUMMYFUNCTION("""COMPUTED_VALUE"""),"n/a")</f>
        <v>n/a</v>
      </c>
      <c r="C5" s="6"/>
      <c r="D5" s="6"/>
    </row>
    <row r="6" spans="1:4" ht="15.75" customHeight="1" x14ac:dyDescent="0.15">
      <c r="A6" s="5" t="s">
        <v>5</v>
      </c>
      <c r="B6" s="6" t="str">
        <f ca="1">IFERROR(__xludf.DUMMYFUNCTION("""COMPUTED_VALUE"""),"no calls, tRNA")</f>
        <v>no calls, tRNA</v>
      </c>
      <c r="C6" s="6"/>
      <c r="D6" s="6"/>
    </row>
    <row r="7" spans="1:4" ht="15.75" customHeight="1" x14ac:dyDescent="0.15">
      <c r="A7" s="5" t="s">
        <v>6</v>
      </c>
      <c r="B7" s="6" t="str">
        <f ca="1">IFERROR(__xludf.DUMMYFUNCTION("""COMPUTED_VALUE"""),"Has some coding potential")</f>
        <v>Has some coding potential</v>
      </c>
      <c r="C7" s="6"/>
      <c r="D7" s="6"/>
    </row>
    <row r="8" spans="1:4" ht="15.75" customHeight="1" x14ac:dyDescent="0.15">
      <c r="A8" s="5" t="s">
        <v>7</v>
      </c>
      <c r="B8" s="6" t="str">
        <f ca="1">IFERROR(__xludf.DUMMYFUNCTION("""COMPUTED_VALUE"""),"Yes")</f>
        <v>Yes</v>
      </c>
      <c r="C8" s="6"/>
      <c r="D8" s="6"/>
    </row>
    <row r="9" spans="1:4" ht="15.75" customHeight="1" x14ac:dyDescent="0.15">
      <c r="A9" s="5" t="s">
        <v>8</v>
      </c>
      <c r="B9" s="6" t="str">
        <f ca="1">IFERROR(__xludf.DUMMYFUNCTION("""COMPUTED_VALUE"""),"50 nucleotide gap- fine, tRNA")</f>
        <v>50 nucleotide gap- fine, tRNA</v>
      </c>
      <c r="C9" s="6"/>
      <c r="D9" s="6"/>
    </row>
    <row r="10" spans="1:4" ht="15.75" customHeight="1" x14ac:dyDescent="0.15">
      <c r="A10" s="5" t="s">
        <v>9</v>
      </c>
      <c r="B10" s="6" t="str">
        <f ca="1">IFERROR(__xludf.DUMMYFUNCTION("""COMPUTED_VALUE"""),"2.569 z-score")</f>
        <v>2.569 z-score</v>
      </c>
      <c r="C10" s="6"/>
      <c r="D10" s="6"/>
    </row>
    <row r="11" spans="1:4" ht="15.75" customHeight="1" x14ac:dyDescent="0.15">
      <c r="A11" s="5" t="s">
        <v>10</v>
      </c>
      <c r="B11" s="6" t="str">
        <f ca="1">IFERROR(__xludf.DUMMYFUNCTION("""COMPUTED_VALUE"""),"None, tRNA")</f>
        <v>None, tRNA</v>
      </c>
      <c r="C11" s="6"/>
      <c r="D11" s="6"/>
    </row>
    <row r="12" spans="1:4" ht="15.75" customHeight="1" x14ac:dyDescent="0.15">
      <c r="A12" s="5" t="s">
        <v>11</v>
      </c>
      <c r="B12" s="6" t="str">
        <f ca="1">IFERROR(__xludf.DUMMYFUNCTION("""COMPUTED_VALUE"""),"n/a, tRNA")</f>
        <v>n/a, tRNA</v>
      </c>
      <c r="C12" s="6"/>
      <c r="D12" s="6"/>
    </row>
    <row r="13" spans="1:4" ht="15.75" customHeight="1" x14ac:dyDescent="0.15">
      <c r="A13" s="5" t="s">
        <v>12</v>
      </c>
      <c r="B13" s="6" t="str">
        <f ca="1">IFERROR(__xludf.DUMMYFUNCTION("""COMPUTED_VALUE"""),"No, is a tRNA")</f>
        <v>No, is a tRNA</v>
      </c>
      <c r="C13" s="6"/>
      <c r="D13" s="6"/>
    </row>
    <row r="14" spans="1:4" ht="15.75" customHeight="1" x14ac:dyDescent="0.15">
      <c r="A14" s="5" t="s">
        <v>13</v>
      </c>
      <c r="B14" s="6" t="str">
        <f ca="1">IFERROR(__xludf.DUMMYFUNCTION("""COMPUTED_VALUE"""),"None, tRNA")</f>
        <v>None, tRNA</v>
      </c>
      <c r="C14" s="6"/>
      <c r="D14" s="6"/>
    </row>
    <row r="15" spans="1:4" ht="15.75" customHeight="1" x14ac:dyDescent="0.15">
      <c r="A15" s="5" t="s">
        <v>14</v>
      </c>
      <c r="B15" s="6" t="str">
        <f ca="1">IFERROR(__xludf.DUMMYFUNCTION("""COMPUTED_VALUE"""),"None ")</f>
        <v xml:space="preserve">None </v>
      </c>
      <c r="C15" s="6"/>
      <c r="D15" s="6"/>
    </row>
    <row r="16" spans="1:4" ht="15.75" customHeight="1" x14ac:dyDescent="0.15">
      <c r="A16" s="5" t="s">
        <v>15</v>
      </c>
      <c r="B16" s="6" t="str">
        <f ca="1">IFERROR(__xludf.DUMMYFUNCTION("""COMPUTED_VALUE"""),"Yes, similar tRNA in a similar environment in Nandita")</f>
        <v>Yes, similar tRNA in a similar environment in Nandita</v>
      </c>
      <c r="C16" s="6"/>
      <c r="D16" s="6"/>
    </row>
    <row r="17" spans="1:4" ht="15.75" customHeight="1" x14ac:dyDescent="0.15">
      <c r="A17" s="5" t="s">
        <v>16</v>
      </c>
      <c r="B17" s="6" t="str">
        <f ca="1">IFERROR(__xludf.DUMMYFUNCTION("""COMPUTED_VALUE"""),"Aragorn calls a TCT anticodon, no compliments, Arg tRNA")</f>
        <v>Aragorn calls a TCT anticodon, no compliments, Arg tRNA</v>
      </c>
      <c r="C17" s="6"/>
      <c r="D17" s="6"/>
    </row>
    <row r="18" spans="1:4" ht="15.75" customHeight="1" x14ac:dyDescent="0.15">
      <c r="A18" s="5" t="s">
        <v>17</v>
      </c>
      <c r="B18" s="6" t="str">
        <f ca="1">IFERROR(__xludf.DUMMYFUNCTION("""COMPUTED_VALUE"""),"None")</f>
        <v>None</v>
      </c>
      <c r="C18" s="6"/>
      <c r="D18" s="6"/>
    </row>
    <row r="19" spans="1:4" ht="15.75" customHeight="1" x14ac:dyDescent="0.15">
      <c r="A19" s="5" t="s">
        <v>18</v>
      </c>
      <c r="B19" s="6" t="str">
        <f ca="1">IFERROR(__xludf.DUMMYFUNCTION("""COMPUTED_VALUE"""),"None")</f>
        <v>None</v>
      </c>
      <c r="C19" s="6"/>
      <c r="D19" s="6"/>
    </row>
    <row r="20" spans="1:4" ht="15.75" customHeight="1" x14ac:dyDescent="0.15">
      <c r="A20" s="5" t="s">
        <v>19</v>
      </c>
      <c r="B20" s="6" t="str">
        <f ca="1">IFERROR(__xludf.DUMMYFUNCTION("""COMPUTED_VALUE"""),"Arg tRNA")</f>
        <v>Arg tRNA</v>
      </c>
      <c r="C20" s="6" t="str">
        <f ca="1">IFERROR(__xludf.DUMMYFUNCTION("""COMPUTED_VALUE"""),"tRNA, product=tRNA-Arg(tct)")</f>
        <v>tRNA, product=tRNA-Arg(tct)</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IFERROR(__xludf.DUMMYFUNCTION("IMPORTRANGE(""https://docs.google.com/spreadsheets/d/12D2a8_yN9-M20Swe1qSSTzsOdHwl9WpMkqw3nyC2tRc"", ""S41!B1:B22"")"),"Noelle Labadens")</f>
        <v>Noelle Labadens</v>
      </c>
      <c r="C1" s="11" t="str">
        <f ca="1">IFERROR(__xludf.DUMMYFUNCTION("IMPORTRANGE(""https://docs.google.com/spreadsheets/d/1WNEoccD374LriG_Vfas93mZuqp-YxPt_JlqNi2GnBVU"", ""S41!B1:B22"")"),"Tyler Thibodeaux")</f>
        <v>Tyler Thibodeaux</v>
      </c>
      <c r="D1" s="2" t="s">
        <v>0</v>
      </c>
    </row>
    <row r="2" spans="1:4" ht="15.75" customHeight="1" x14ac:dyDescent="0.15">
      <c r="A2" s="3" t="s">
        <v>1</v>
      </c>
      <c r="B2" s="4" t="str">
        <f ca="1">IFERROR(__xludf.DUMMYFUNCTION("""COMPUTED_VALUE"""),"29284 - 28409, REV")</f>
        <v>29284 - 28409, REV</v>
      </c>
      <c r="C2" s="4" t="str">
        <f ca="1">IFERROR(__xludf.DUMMYFUNCTION("""COMPUTED_VALUE"""),"30140 to 29997 (Reverse)")</f>
        <v>30140 to 29997 (Reverse)</v>
      </c>
      <c r="D2" s="4"/>
    </row>
    <row r="3" spans="1:4" ht="15.75" customHeight="1" x14ac:dyDescent="0.15">
      <c r="A3" s="5" t="s">
        <v>2</v>
      </c>
      <c r="B3" s="6" t="str">
        <f ca="1">IFERROR(__xludf.DUMMYFUNCTION("""COMPUTED_VALUE"""),"41 Phamerator; 39 DNA Master")</f>
        <v>41 Phamerator; 39 DNA Master</v>
      </c>
      <c r="C3" s="6" t="str">
        <f ca="1">IFERROR(__xludf.DUMMYFUNCTION("""COMPUTED_VALUE"""),"41 DNAm and 43 in Pham")</f>
        <v>41 DNAm and 43 in Pham</v>
      </c>
      <c r="D3" s="6"/>
    </row>
    <row r="4" spans="1:4" ht="15.75" customHeight="1" x14ac:dyDescent="0.15">
      <c r="A4" s="5" t="s">
        <v>3</v>
      </c>
      <c r="B4" s="6" t="str">
        <f ca="1">IFERROR(__xludf.DUMMYFUNCTION("""COMPUTED_VALUE"""),"pham 228232, 4/25/25")</f>
        <v>pham 228232, 4/25/25</v>
      </c>
      <c r="C4" s="6" t="str">
        <f ca="1">IFERROR(__xludf.DUMMYFUNCTION("""COMPUTED_VALUE"""),"pham 28223, 4-11-25")</f>
        <v>pham 28223, 4-11-25</v>
      </c>
      <c r="D4" s="6"/>
    </row>
    <row r="5" spans="1:4" ht="15.75" customHeight="1" x14ac:dyDescent="0.15">
      <c r="A5" s="5" t="s">
        <v>4</v>
      </c>
      <c r="B5" s="6" t="str">
        <f ca="1">IFERROR(__xludf.DUMMYFUNCTION("""COMPUTED_VALUE"""),"32HC_47, AllBusiness_36")</f>
        <v>32HC_47, AllBusiness_36</v>
      </c>
      <c r="C5" s="6" t="str">
        <f ca="1">IFERROR(__xludf.DUMMYFUNCTION("""COMPUTED_VALUE"""),"Nandita_41")</f>
        <v>Nandita_41</v>
      </c>
      <c r="D5" s="6"/>
    </row>
    <row r="6" spans="1:4" ht="15.75" customHeight="1" x14ac:dyDescent="0.15">
      <c r="A6" s="5" t="s">
        <v>5</v>
      </c>
      <c r="B6" s="6" t="str">
        <f ca="1">IFERROR(__xludf.DUMMYFUNCTION("""COMPUTED_VALUE"""),"both")</f>
        <v>both</v>
      </c>
      <c r="C6" s="6" t="str">
        <f ca="1">IFERROR(__xludf.DUMMYFUNCTION("""COMPUTED_VALUE"""),"Original Glimmer call @bp 30140, but Genemark did not call this gene")</f>
        <v>Original Glimmer call @bp 30140, but Genemark did not call this gene</v>
      </c>
      <c r="D6" s="6"/>
    </row>
    <row r="7" spans="1:4" ht="15.75" customHeight="1" x14ac:dyDescent="0.15">
      <c r="A7" s="5" t="s">
        <v>6</v>
      </c>
      <c r="B7" s="6" t="str">
        <f ca="1">IFERROR(__xludf.DUMMYFUNCTION("""COMPUTED_VALUE"""),"decent coding potenital, misses some of the gene in at the beginning")</f>
        <v>decent coding potenital, misses some of the gene in at the beginning</v>
      </c>
      <c r="C7" s="6" t="str">
        <f ca="1">IFERROR(__xludf.DUMMYFUNCTION("""COMPUTED_VALUE"""),"Some coding potential, but not great")</f>
        <v>Some coding potential, but not great</v>
      </c>
      <c r="D7" s="6"/>
    </row>
    <row r="8" spans="1:4" ht="15.75" customHeight="1" x14ac:dyDescent="0.15">
      <c r="A8" s="5" t="s">
        <v>7</v>
      </c>
      <c r="B8" s="6" t="str">
        <f ca="1">IFERROR(__xludf.DUMMYFUNCTION("""COMPUTED_VALUE"""),"yes")</f>
        <v>yes</v>
      </c>
      <c r="C8" s="6" t="str">
        <f ca="1">IFERROR(__xludf.DUMMYFUNCTION("""COMPUTED_VALUE"""),"Longest possible ORF")</f>
        <v>Longest possible ORF</v>
      </c>
      <c r="D8" s="6"/>
    </row>
    <row r="9" spans="1:4" ht="15.75" customHeight="1" x14ac:dyDescent="0.15">
      <c r="A9" s="5" t="s">
        <v>8</v>
      </c>
      <c r="B9" s="6" t="str">
        <f ca="1">IFERROR(__xludf.DUMMYFUNCTION("""COMPUTED_VALUE"""),"65 nt gap")</f>
        <v>65 nt gap</v>
      </c>
      <c r="C9" s="6" t="str">
        <f ca="1">IFERROR(__xludf.DUMMYFUNCTION("""COMPUTED_VALUE"""),"259 gap")</f>
        <v>259 gap</v>
      </c>
      <c r="D9" s="6"/>
    </row>
    <row r="10" spans="1:4" ht="15.75" customHeight="1" x14ac:dyDescent="0.15">
      <c r="A10" s="5" t="s">
        <v>9</v>
      </c>
      <c r="B10" s="6" t="str">
        <f ca="1">IFERROR(__xludf.DUMMYFUNCTION("""COMPUTED_VALUE"""),"z score - 2.108")</f>
        <v>z score - 2.108</v>
      </c>
      <c r="C10" s="6" t="str">
        <f ca="1">IFERROR(__xludf.DUMMYFUNCTION("""COMPUTED_VALUE"""),"Z score is bad: 1.6. It is the best possible start. ")</f>
        <v xml:space="preserve">Z score is bad: 1.6. It is the best possible start. </v>
      </c>
      <c r="D10" s="6"/>
    </row>
    <row r="11" spans="1:4" ht="15.75" customHeight="1" x14ac:dyDescent="0.15">
      <c r="A11" s="5" t="s">
        <v>10</v>
      </c>
      <c r="B11" s="6" t="str">
        <f ca="1">IFERROR(__xludf.DUMMYFUNCTION("""COMPUTED_VALUE"""),"Guinevere_39, 100%, e-170, q:1, s:1; GoodLuckBabe_39, 100%, e-170, q:1, s:1")</f>
        <v>Guinevere_39, 100%, e-170, q:1, s:1; GoodLuckBabe_39, 100%, e-170, q:1, s:1</v>
      </c>
      <c r="C11" s="6" t="str">
        <f ca="1">IFERROR(__xludf.DUMMYFUNCTION("""COMPUTED_VALUE"""),"Hypothetical protein, nandita, e= e-22, %idenitity: 95.74%, q1:s1")</f>
        <v>Hypothetical protein, nandita, e= e-22, %idenitity: 95.74%, q1:s1</v>
      </c>
      <c r="D11" s="6"/>
    </row>
    <row r="12" spans="1:4" ht="15.75" customHeight="1" x14ac:dyDescent="0.15">
      <c r="A12" s="5" t="s">
        <v>11</v>
      </c>
      <c r="B12" s="6" t="str">
        <f ca="1">IFERROR(__xludf.DUMMYFUNCTION("""COMPUTED_VALUE"""),"no, called 82.6% when present. called by both guinevere and goodluckbabe")</f>
        <v>no, called 82.6% when present. called by both guinevere and goodluckbabe</v>
      </c>
      <c r="C12" s="6" t="str">
        <f ca="1">IFERROR(__xludf.DUMMYFUNCTION("""COMPUTED_VALUE"""),"It is conserved in most of all members (92%) and it is called 100% of the time.")</f>
        <v>It is conserved in most of all members (92%) and it is called 100% of the time.</v>
      </c>
      <c r="D12" s="6"/>
    </row>
    <row r="13" spans="1:4" ht="15.75" customHeight="1" x14ac:dyDescent="0.15">
      <c r="A13" s="5" t="s">
        <v>12</v>
      </c>
      <c r="B13" s="6" t="str">
        <f ca="1">IFERROR(__xludf.DUMMYFUNCTION("""COMPUTED_VALUE"""),"no. decent coding and good z score. dont wanna move it and widen the gap.")</f>
        <v>no. decent coding and good z score. dont wanna move it and widen the gap.</v>
      </c>
      <c r="C13" s="6" t="str">
        <f ca="1">IFERROR(__xludf.DUMMYFUNCTION("""COMPUTED_VALUE"""),"No")</f>
        <v>No</v>
      </c>
      <c r="D13" s="6"/>
    </row>
    <row r="14" spans="1:4" ht="15.75" customHeight="1" x14ac:dyDescent="0.15">
      <c r="A14" s="5" t="s">
        <v>13</v>
      </c>
      <c r="B14" s="6" t="str">
        <f ca="1">IFERROR(__xludf.DUMMYFUNCTION("""COMPUTED_VALUE"""),"Ryan_39, e-169 ; Popper_37, e-169")</f>
        <v>Ryan_39, e-169 ; Popper_37, e-169</v>
      </c>
      <c r="C14" s="6" t="str">
        <f ca="1">IFERROR(__xludf.DUMMYFUNCTION("""COMPUTED_VALUE"""),"Nandita_41, function unknown, e= 2e^-19")</f>
        <v>Nandita_41, function unknown, e= 2e^-19</v>
      </c>
      <c r="D14" s="6"/>
    </row>
    <row r="15" spans="1:4" ht="15.75" customHeight="1" x14ac:dyDescent="0.15">
      <c r="A15" s="5" t="s">
        <v>14</v>
      </c>
      <c r="B15" s="6" t="str">
        <f ca="1">IFERROR(__xludf.DUMMYFUNCTION("""COMPUTED_VALUE"""),"integrase, tyrosine integrase (respectively)")</f>
        <v>integrase, tyrosine integrase (respectively)</v>
      </c>
      <c r="C15" s="6" t="str">
        <f ca="1">IFERROR(__xludf.DUMMYFUNCTION("""COMPUTED_VALUE"""),"Nandita_41, function unknown")</f>
        <v>Nandita_41, function unknown</v>
      </c>
      <c r="D15" s="6"/>
    </row>
    <row r="16" spans="1:4" ht="15.75" customHeight="1" x14ac:dyDescent="0.15">
      <c r="A16" s="5" t="s">
        <v>15</v>
      </c>
      <c r="B16" s="6" t="str">
        <f ca="1">IFERROR(__xludf.DUMMYFUNCTION("""COMPUTED_VALUE"""),"great synteny, all genes to be expected")</f>
        <v>great synteny, all genes to be expected</v>
      </c>
      <c r="C16" s="6" t="str">
        <f ca="1">IFERROR(__xludf.DUMMYFUNCTION("""COMPUTED_VALUE"""),"It is in the same genetic enviornment as nandita")</f>
        <v>It is in the same genetic enviornment as nandita</v>
      </c>
      <c r="D16" s="6"/>
    </row>
    <row r="17" spans="1:4" ht="15.75" customHeight="1" x14ac:dyDescent="0.15">
      <c r="A17" s="5" t="s">
        <v>16</v>
      </c>
      <c r="B17" s="6" t="str">
        <f ca="1">IFERROR(__xludf.DUMMYFUNCTION("""COMPUTED_VALUE"""),"p33; Bacteriophage, Brujita, DNA-binding, Integrase, DNA BINDING PROTEIN; HET: ACT, GOL; 1.847A {Mycobacterium phage Brujita}, 100%, q:94.2%, t: 86.2%; yes; no")</f>
        <v>p33; Bacteriophage, Brujita, DNA-binding, Integrase, DNA BINDING PROTEIN; HET: ACT, GOL; 1.847A {Mycobacterium phage Brujita}, 100%, q:94.2%, t: 86.2%; yes; no</v>
      </c>
      <c r="C17" s="6" t="str">
        <f ca="1">IFERROR(__xludf.DUMMYFUNCTION("""COMPUTED_VALUE"""),"Not helpful, all hits were bad scores and relatively low probabilities ")</f>
        <v xml:space="preserve">Not helpful, all hits were bad scores and relatively low probabilities </v>
      </c>
      <c r="D17" s="6"/>
    </row>
    <row r="18" spans="1:4" ht="15.75" customHeight="1" x14ac:dyDescent="0.15">
      <c r="A18" s="5" t="s">
        <v>17</v>
      </c>
      <c r="B18" s="6" t="str">
        <f ca="1">IFERROR(__xludf.DUMMYFUNCTION("""COMPUTED_VALUE"""),"a lot! Phage_integrase, etc.")</f>
        <v>a lot! Phage_integrase, etc.</v>
      </c>
      <c r="C18" s="6" t="str">
        <f ca="1">IFERROR(__xludf.DUMMYFUNCTION("""COMPUTED_VALUE"""),"None ")</f>
        <v xml:space="preserve">None </v>
      </c>
      <c r="D18" s="6"/>
    </row>
    <row r="19" spans="1:4" ht="15.75" customHeight="1" x14ac:dyDescent="0.15">
      <c r="A19" s="5" t="s">
        <v>18</v>
      </c>
      <c r="B19" s="6" t="str">
        <f ca="1">IFERROR(__xludf.DUMMYFUNCTION("""COMPUTED_VALUE"""),"none")</f>
        <v>none</v>
      </c>
      <c r="C19" s="6" t="str">
        <f ca="1">IFERROR(__xludf.DUMMYFUNCTION("""COMPUTED_VALUE"""),"NOne ")</f>
        <v xml:space="preserve">NOne </v>
      </c>
      <c r="D19" s="6"/>
    </row>
    <row r="20" spans="1:4" ht="15.75" customHeight="1" x14ac:dyDescent="0.15">
      <c r="A20" s="5" t="s">
        <v>19</v>
      </c>
      <c r="B20" s="6" t="str">
        <f ca="1">IFERROR(__xludf.DUMMYFUNCTION("""COMPUTED_VALUE"""),"tyrosine integrase. integrase is not in the approved functions list. hhpred showed a lot of matches to this type of function and a lot of the pham members do as well.")</f>
        <v>tyrosine integrase. integrase is not in the approved functions list. hhpred showed a lot of matches to this type of function and a lot of the pham members do as well.</v>
      </c>
      <c r="C20" s="6" t="str">
        <f ca="1">IFERROR(__xludf.DUMMYFUNCTION("""COMPUTED_VALUE"""),"Hypothetical Protein. This is due to the Phages db blast, NCBI blast, and the synteny in relation to nandita. ")</f>
        <v xml:space="preserve">Hypothetical Protein. This is due to the Phages db blast, NCBI blast, and the synteny in relation to nandita. </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IFERROR(__xludf.DUMMYFUNCTION("IMPORTRANGE(""https://docs.google.com/spreadsheets/d/12D2a8_yN9-M20Swe1qSSTzsOdHwl9WpMkqw3nyC2tRc"", ""S42!B1:B22"")"),"Noelle Labadens")</f>
        <v>Noelle Labadens</v>
      </c>
      <c r="C1" s="11" t="str">
        <f ca="1">IFERROR(__xludf.DUMMYFUNCTION("IMPORTRANGE(""https://docs.google.com/spreadsheets/d/118rN356SVQ9wRlO8Wn-8gpg7SdHsE4vm-XldkW2-iEo"", ""S42!B1:B22"")"),"McKinzie Novak")</f>
        <v>McKinzie Novak</v>
      </c>
      <c r="D1" s="2" t="s">
        <v>0</v>
      </c>
    </row>
    <row r="2" spans="1:4" ht="15.75" customHeight="1" x14ac:dyDescent="0.15">
      <c r="A2" s="3" t="s">
        <v>1</v>
      </c>
      <c r="B2" s="4" t="str">
        <f ca="1">IFERROR(__xludf.DUMMYFUNCTION("""COMPUTED_VALUE"""),"29738- 29349 REV")</f>
        <v>29738- 29349 REV</v>
      </c>
      <c r="C2" s="4" t="str">
        <f ca="1">IFERROR(__xludf.DUMMYFUNCTION("""COMPUTED_VALUE"""),"START: 29738
STOP: 29349
REVERSE")</f>
        <v>START: 29738
STOP: 29349
REVERSE</v>
      </c>
      <c r="D2" s="4"/>
    </row>
    <row r="3" spans="1:4" ht="15.75" customHeight="1" x14ac:dyDescent="0.15">
      <c r="A3" s="5" t="s">
        <v>2</v>
      </c>
      <c r="B3" s="6" t="str">
        <f ca="1">IFERROR(__xludf.DUMMYFUNCTION("""COMPUTED_VALUE"""),"42 Phamerator; 40 DNA Master")</f>
        <v>42 Phamerator; 40 DNA Master</v>
      </c>
      <c r="C3" s="6" t="str">
        <f ca="1">IFERROR(__xludf.DUMMYFUNCTION("""COMPUTED_VALUE"""),"DNAM: 40
PHAM: 42
Phagesdb: 42")</f>
        <v>DNAM: 40
PHAM: 42
Phagesdb: 42</v>
      </c>
      <c r="D3" s="6"/>
    </row>
    <row r="4" spans="1:4" ht="15.75" customHeight="1" x14ac:dyDescent="0.15">
      <c r="A4" s="5" t="s">
        <v>3</v>
      </c>
      <c r="B4" s="6" t="str">
        <f ca="1">IFERROR(__xludf.DUMMYFUNCTION("""COMPUTED_VALUE"""),"pham 28678 2/25/25")</f>
        <v>pham 28678 2/25/25</v>
      </c>
      <c r="C4" s="6" t="str">
        <f ca="1">IFERROR(__xludf.DUMMYFUNCTION("""COMPUTED_VALUE"""),"#28678   4/11/25")</f>
        <v>#28678   4/11/25</v>
      </c>
      <c r="D4" s="6"/>
    </row>
    <row r="5" spans="1:4" ht="15.75" customHeight="1" x14ac:dyDescent="0.15">
      <c r="A5" s="5" t="s">
        <v>4</v>
      </c>
      <c r="B5" s="6" t="str">
        <f ca="1">IFERROR(__xludf.DUMMYFUNCTION("""COMPUTED_VALUE"""),"Lenoxika_40, Popper_38")</f>
        <v>Lenoxika_40, Popper_38</v>
      </c>
      <c r="C5" s="6" t="str">
        <f ca="1">IFERROR(__xludf.DUMMYFUNCTION("""COMPUTED_VALUE"""),"Popper #68,Nandita #31,Zaheer #66")</f>
        <v>Popper #68,Nandita #31,Zaheer #66</v>
      </c>
      <c r="D5" s="6"/>
    </row>
    <row r="6" spans="1:4" ht="15.75" customHeight="1" x14ac:dyDescent="0.15">
      <c r="A6" s="5" t="s">
        <v>5</v>
      </c>
      <c r="B6" s="6" t="str">
        <f ca="1">IFERROR(__xludf.DUMMYFUNCTION("""COMPUTED_VALUE"""),"Glimmer call")</f>
        <v>Glimmer call</v>
      </c>
      <c r="C6" s="6" t="str">
        <f ca="1">IFERROR(__xludf.DUMMYFUNCTION("""COMPUTED_VALUE"""),"Only glimmer called this gene, genemark did not")</f>
        <v>Only glimmer called this gene, genemark did not</v>
      </c>
      <c r="D6" s="6"/>
    </row>
    <row r="7" spans="1:4" ht="15.75" customHeight="1" x14ac:dyDescent="0.15">
      <c r="A7" s="5" t="s">
        <v>6</v>
      </c>
      <c r="B7" s="6" t="str">
        <f ca="1">IFERROR(__xludf.DUMMYFUNCTION("""COMPUTED_VALUE"""),"I don't see a gene there on genemark...")</f>
        <v>I don't see a gene there on genemark...</v>
      </c>
      <c r="C7" s="6" t="str">
        <f ca="1">IFERROR(__xludf.DUMMYFUNCTION("""COMPUTED_VALUE"""),"Genemark did not call the gene, but there isn't really any good coding potential across the frames.")</f>
        <v>Genemark did not call the gene, but there isn't really any good coding potential across the frames.</v>
      </c>
      <c r="D7" s="6"/>
    </row>
    <row r="8" spans="1:4" ht="15.75" customHeight="1" x14ac:dyDescent="0.15">
      <c r="A8" s="5" t="s">
        <v>7</v>
      </c>
      <c r="B8" s="6" t="str">
        <f ca="1">IFERROR(__xludf.DUMMYFUNCTION("""COMPUTED_VALUE"""),"no, 3 starts after it")</f>
        <v>no, 3 starts after it</v>
      </c>
      <c r="C8" s="6" t="str">
        <f ca="1">IFERROR(__xludf.DUMMYFUNCTION("""COMPUTED_VALUE"""),"No, this is not the longest open ORF there are three other starts before this one.")</f>
        <v>No, this is not the longest open ORF there are three other starts before this one.</v>
      </c>
      <c r="D8" s="6"/>
    </row>
    <row r="9" spans="1:4" ht="15.75" customHeight="1" x14ac:dyDescent="0.15">
      <c r="A9" s="5" t="s">
        <v>8</v>
      </c>
      <c r="B9" s="6" t="str">
        <f ca="1">IFERROR(__xludf.DUMMYFUNCTION("""COMPUTED_VALUE"""),"259 nt gap")</f>
        <v>259 nt gap</v>
      </c>
      <c r="C9" s="6" t="str">
        <f ca="1">IFERROR(__xludf.DUMMYFUNCTION("""COMPUTED_VALUE"""),"There is a 259 basepair gap on the end of this gene, and a 65 basepair gap on the front of this gene")</f>
        <v>There is a 259 basepair gap on the end of this gene, and a 65 basepair gap on the front of this gene</v>
      </c>
      <c r="D9" s="6"/>
    </row>
    <row r="10" spans="1:4" ht="15.75" customHeight="1" x14ac:dyDescent="0.15">
      <c r="A10" s="5" t="s">
        <v>9</v>
      </c>
      <c r="B10" s="6" t="str">
        <f ca="1">IFERROR(__xludf.DUMMYFUNCTION("""COMPUTED_VALUE"""),"z score - 1.548. best z score makes the gap larger at 29714. siliar z score of 1.53 at latest start 29984")</f>
        <v>z score - 1.548. best z score makes the gap larger at 29714. siliar z score of 1.53 at latest start 29984</v>
      </c>
      <c r="C10" s="6" t="str">
        <f ca="1">IFERROR(__xludf.DUMMYFUNCTION("""COMPUTED_VALUE"""),"Start:29738 z-score:1.56 rbs:-5.6
Start:29714 z-score:2.31 rbs:-4.6")</f>
        <v>Start:29738 z-score:1.56 rbs:-5.6
Start:29714 z-score:2.31 rbs:-4.6</v>
      </c>
      <c r="D10" s="6"/>
    </row>
    <row r="11" spans="1:4" ht="15.75" customHeight="1" x14ac:dyDescent="0.15">
      <c r="A11" s="5" t="s">
        <v>10</v>
      </c>
      <c r="B11" s="6" t="str">
        <f ca="1">IFERROR(__xludf.DUMMYFUNCTION("""COMPUTED_VALUE"""),"Popper_38, 98%, 1e-72, q:1, s:1")</f>
        <v>Popper_38, 98%, 1e-72, q:1, s:1</v>
      </c>
      <c r="C11" s="6" t="str">
        <f ca="1">IFERROR(__xludf.DUMMYFUNCTION("""COMPUTED_VALUE"""),"Popper #68 %ID:98.5 eval:0.0e0
Q:1 S:1
Nandita #31 %ID:95.4 eval:0.0e0
Q:1 S:1
Zaheer #66 %ID:95.4 eval:0.0e0
Q:1 S:1")</f>
        <v>Popper #68 %ID:98.5 eval:0.0e0
Q:1 S:1
Nandita #31 %ID:95.4 eval:0.0e0
Q:1 S:1
Zaheer #66 %ID:95.4 eval:0.0e0
Q:1 S:1</v>
      </c>
      <c r="D11" s="6"/>
    </row>
    <row r="12" spans="1:4" ht="15.75" customHeight="1" x14ac:dyDescent="0.15">
      <c r="A12" s="5" t="s">
        <v>11</v>
      </c>
      <c r="B12" s="6" t="str">
        <f ca="1">IFERROR(__xludf.DUMMYFUNCTION("""COMPUTED_VALUE"""),"yes, called 100% when present")</f>
        <v>yes, called 100% when present</v>
      </c>
      <c r="C12" s="6" t="str">
        <f ca="1">IFERROR(__xludf.DUMMYFUNCTION("""COMPUTED_VALUE"""),"Yes the start is well conserved in the Pham, (#4) is called 100% of the time, no other starts are even called.")</f>
        <v>Yes the start is well conserved in the Pham, (#4) is called 100% of the time, no other starts are even called.</v>
      </c>
      <c r="D12" s="6"/>
    </row>
    <row r="13" spans="1:4" ht="15.75" customHeight="1" x14ac:dyDescent="0.15">
      <c r="A13" s="5" t="s">
        <v>12</v>
      </c>
      <c r="B13" s="6" t="str">
        <f ca="1">IFERROR(__xludf.DUMMYFUNCTION("""COMPUTED_VALUE"""),"no. even though it has a large gap, this start is called 100% when present and is conserved in all members of its pham. maybe this gene needs space. the only other farther z score is slightly worse as well.")</f>
        <v>no. even though it has a large gap, this start is called 100% when present and is conserved in all members of its pham. maybe this gene needs space. the only other farther z score is slightly worse as well.</v>
      </c>
      <c r="C13" s="6" t="str">
        <f ca="1">IFERROR(__xludf.DUMMYFUNCTION("""COMPUTED_VALUE"""),"No, there is a start with a better z-score, but this start is 2nd best and well conserved in starterator making a bigger gap seems pointless")</f>
        <v>No, there is a start with a better z-score, but this start is 2nd best and well conserved in starterator making a bigger gap seems pointless</v>
      </c>
      <c r="D13" s="6"/>
    </row>
    <row r="14" spans="1:4" ht="15.75" customHeight="1" x14ac:dyDescent="0.15">
      <c r="A14" s="5" t="s">
        <v>13</v>
      </c>
      <c r="B14" s="6" t="str">
        <f ca="1">IFERROR(__xludf.DUMMYFUNCTION("""COMPUTED_VALUE"""),"Popper_38, 1e-72")</f>
        <v>Popper_38, 1e-72</v>
      </c>
      <c r="C14" s="6" t="str">
        <f ca="1">IFERROR(__xludf.DUMMYFUNCTION("""COMPUTED_VALUE"""),"Popper #68 eval: 0.0e0
Nandita #31 eval: 0.0e0
Zaheer #66 eval: 0.0e0")</f>
        <v>Popper #68 eval: 0.0e0
Nandita #31 eval: 0.0e0
Zaheer #66 eval: 0.0e0</v>
      </c>
      <c r="D14" s="6"/>
    </row>
    <row r="15" spans="1:4" ht="15.75" customHeight="1" x14ac:dyDescent="0.15">
      <c r="A15" s="5" t="s">
        <v>14</v>
      </c>
      <c r="B15" s="6" t="str">
        <f ca="1">IFERROR(__xludf.DUMMYFUNCTION("""COMPUTED_VALUE"""),"function unknown")</f>
        <v>function unknown</v>
      </c>
      <c r="C15" s="6" t="str">
        <f ca="1">IFERROR(__xludf.DUMMYFUNCTION("""COMPUTED_VALUE"""),"Popper #68 (hypothetical protein)
Nandita #31 (hypothetical protein)
Zaheer #66 (hypothetical protein)")</f>
        <v>Popper #68 (hypothetical protein)
Nandita #31 (hypothetical protein)
Zaheer #66 (hypothetical protein)</v>
      </c>
      <c r="D15" s="6"/>
    </row>
    <row r="16" spans="1:4" ht="15.75" customHeight="1" x14ac:dyDescent="0.15">
      <c r="A16" s="5" t="s">
        <v>15</v>
      </c>
      <c r="B16" s="6" t="str">
        <f ca="1">IFERROR(__xludf.DUMMYFUNCTION("""COMPUTED_VALUE"""),"good synteny, all adjacent genes to be expected")</f>
        <v>good synteny, all adjacent genes to be expected</v>
      </c>
      <c r="C16" s="6" t="str">
        <f ca="1">IFERROR(__xludf.DUMMYFUNCTION("""COMPUTED_VALUE"""),"Yes, the gene fits in its genetic environment; there is an adjacent hypothetical protein to the left and right of this gene")</f>
        <v>Yes, the gene fits in its genetic environment; there is an adjacent hypothetical protein to the left and right of this gene</v>
      </c>
      <c r="D16" s="6"/>
    </row>
    <row r="17" spans="1:4" ht="15.75" customHeight="1" x14ac:dyDescent="0.15">
      <c r="A17" s="5" t="s">
        <v>16</v>
      </c>
      <c r="B17" s="6" t="str">
        <f ca="1">IFERROR(__xludf.DUMMYFUNCTION("""COMPUTED_VALUE"""),"all probablilites below 40%")</f>
        <v>all probablilites below 40%</v>
      </c>
      <c r="C17" s="6" t="str">
        <f ca="1">IFERROR(__xludf.DUMMYFUNCTION("""COMPUTED_VALUE"""),"DESC: FAM186A-B_C ; FAM186A/B, C-terminal
Prob:34.84 %ALT:10.54 %ALQ:19.38
No, needs more research most likely a hypothetical protein")</f>
        <v>DESC: FAM186A-B_C ; FAM186A/B, C-terminal
Prob:34.84 %ALT:10.54 %ALQ:19.38
No, needs more research most likely a hypothetical protein</v>
      </c>
      <c r="D17" s="6"/>
    </row>
    <row r="18" spans="1:4" ht="15.75" customHeight="1" x14ac:dyDescent="0.15">
      <c r="A18" s="5" t="s">
        <v>17</v>
      </c>
      <c r="B18" s="6" t="str">
        <f ca="1">IFERROR(__xludf.DUMMYFUNCTION("""COMPUTED_VALUE"""),"none")</f>
        <v>none</v>
      </c>
      <c r="C18" s="6" t="str">
        <f ca="1">IFERROR(__xludf.DUMMYFUNCTION("""COMPUTED_VALUE"""),"None.")</f>
        <v>None.</v>
      </c>
      <c r="D18" s="6"/>
    </row>
    <row r="19" spans="1:4" ht="15.75" customHeight="1" x14ac:dyDescent="0.15">
      <c r="A19" s="5" t="s">
        <v>18</v>
      </c>
      <c r="B19" s="6" t="str">
        <f ca="1">IFERROR(__xludf.DUMMYFUNCTION("""COMPUTED_VALUE"""),"none")</f>
        <v>none</v>
      </c>
      <c r="C19" s="6" t="str">
        <f ca="1">IFERROR(__xludf.DUMMYFUNCTION("""COMPUTED_VALUE"""),"None.")</f>
        <v>None.</v>
      </c>
      <c r="D19" s="6"/>
    </row>
    <row r="20" spans="1:4" ht="15.75" customHeight="1" x14ac:dyDescent="0.15">
      <c r="A20" s="5" t="s">
        <v>19</v>
      </c>
      <c r="B20" s="6" t="str">
        <f ca="1">IFERROR(__xludf.DUMMYFUNCTION("""COMPUTED_VALUE"""),"function unknown. Hhpred probabilities were not high enough and all of the pham member functions are unknown")</f>
        <v>function unknown. Hhpred probabilities were not high enough and all of the pham member functions are unknown</v>
      </c>
      <c r="C20" s="6" t="str">
        <f ca="1">IFERROR(__xludf.DUMMYFUNCTION("""COMPUTED_VALUE"""),"Hypothetical protein")</f>
        <v>Hypothetical protein</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IFERROR(__xludf.DUMMYFUNCTION("IMPORTRANGE(""https://docs.google.com/spreadsheets/d/1NBZgc2wQWlGwpwt7AcCySCDz0bod7B0VKf0lrtlBP8Q"", ""S43!B1:B22"")"),"Jackson Root")</f>
        <v>Jackson Root</v>
      </c>
      <c r="C1" s="11" t="str">
        <f ca="1">IFERROR(__xludf.DUMMYFUNCTION("IMPORTRANGE(""https://docs.google.com/spreadsheets/d/19cQ7zWvMqLBhgqC8nl5nOal4YuMd-mbE3bz8Irjnl7E"", ""S43!B1:B22"")"),"Jake Stafford")</f>
        <v>Jake Stafford</v>
      </c>
      <c r="D1" s="2" t="s">
        <v>0</v>
      </c>
    </row>
    <row r="2" spans="1:4" ht="15.75" customHeight="1" x14ac:dyDescent="0.15">
      <c r="A2" s="3" t="s">
        <v>1</v>
      </c>
      <c r="B2" s="4" t="str">
        <f ca="1">IFERROR(__xludf.DUMMYFUNCTION("""COMPUTED_VALUE"""),"start: 30140  Stop: 29997   reverse")</f>
        <v>start: 30140  Stop: 29997   reverse</v>
      </c>
      <c r="C2" s="4" t="str">
        <f ca="1">IFERROR(__xludf.DUMMYFUNCTION("""COMPUTED_VALUE"""),"Start:29997 Stop:30140 REV")</f>
        <v>Start:29997 Stop:30140 REV</v>
      </c>
      <c r="D2" s="4"/>
    </row>
    <row r="3" spans="1:4" ht="15.75" customHeight="1" x14ac:dyDescent="0.15">
      <c r="A3" s="5" t="s">
        <v>2</v>
      </c>
      <c r="B3" s="6" t="str">
        <f ca="1">IFERROR(__xludf.DUMMYFUNCTION("""COMPUTED_VALUE"""),"Pham: 43   DNA: 41")</f>
        <v>Pham: 43   DNA: 41</v>
      </c>
      <c r="C3" s="6" t="str">
        <f ca="1">IFERROR(__xludf.DUMMYFUNCTION("""COMPUTED_VALUE"""),"43 in PHAM, 41 in DNAM")</f>
        <v>43 in PHAM, 41 in DNAM</v>
      </c>
      <c r="D3" s="6"/>
    </row>
    <row r="4" spans="1:4" ht="15.75" customHeight="1" x14ac:dyDescent="0.15">
      <c r="A4" s="5" t="s">
        <v>3</v>
      </c>
      <c r="B4" s="6" t="str">
        <f ca="1">IFERROR(__xludf.DUMMYFUNCTION("""COMPUTED_VALUE"""),"pham 28223   04/11/25")</f>
        <v>pham 28223   04/11/25</v>
      </c>
      <c r="C4" s="6" t="str">
        <f ca="1">IFERROR(__xludf.DUMMYFUNCTION("""COMPUTED_VALUE"""),"28223 4/15/25")</f>
        <v>28223 4/15/25</v>
      </c>
      <c r="D4" s="6"/>
    </row>
    <row r="5" spans="1:4" ht="15.75" customHeight="1" x14ac:dyDescent="0.15">
      <c r="A5" s="5" t="s">
        <v>4</v>
      </c>
      <c r="B5" s="6" t="str">
        <f ca="1">IFERROR(__xludf.DUMMYFUNCTION("""COMPUTED_VALUE"""),"Nandita_41, Zaheer_41")</f>
        <v>Nandita_41, Zaheer_41</v>
      </c>
      <c r="C5" s="6" t="str">
        <f ca="1">IFERROR(__xludf.DUMMYFUNCTION("""COMPUTED_VALUE"""),"Nandita_41, AllBusiness_37")</f>
        <v>Nandita_41, AllBusiness_37</v>
      </c>
      <c r="D5" s="6"/>
    </row>
    <row r="6" spans="1:4" ht="15.75" customHeight="1" x14ac:dyDescent="0.15">
      <c r="A6" s="5" t="s">
        <v>5</v>
      </c>
      <c r="B6" s="6" t="str">
        <f ca="1">IFERROR(__xludf.DUMMYFUNCTION("""COMPUTED_VALUE"""),"Glimmer: 30140; not called by genemark")</f>
        <v>Glimmer: 30140; not called by genemark</v>
      </c>
      <c r="C6" s="6" t="str">
        <f ca="1">IFERROR(__xludf.DUMMYFUNCTION("""COMPUTED_VALUE"""),"Glimmer called 30140, Genemark did not call ")</f>
        <v xml:space="preserve">Glimmer called 30140, Genemark did not call </v>
      </c>
      <c r="D6" s="6"/>
    </row>
    <row r="7" spans="1:4" ht="15.75" customHeight="1" x14ac:dyDescent="0.15">
      <c r="A7" s="5" t="s">
        <v>6</v>
      </c>
      <c r="B7" s="6" t="str">
        <f ca="1">IFERROR(__xludf.DUMMYFUNCTION("""COMPUTED_VALUE"""),"according to genemark no, but there is some coding potential there, and there currwnt glimmer call doesnt quite get all the potential")</f>
        <v>according to genemark no, but there is some coding potential there, and there currwnt glimmer call doesnt quite get all the potential</v>
      </c>
      <c r="C7" s="6" t="str">
        <f ca="1">IFERROR(__xludf.DUMMYFUNCTION("""COMPUTED_VALUE"""),"No coding potential")</f>
        <v>No coding potential</v>
      </c>
      <c r="D7" s="6"/>
    </row>
    <row r="8" spans="1:4" ht="15.75" customHeight="1" x14ac:dyDescent="0.15">
      <c r="A8" s="5" t="s">
        <v>7</v>
      </c>
      <c r="B8" s="6" t="str">
        <f ca="1">IFERROR(__xludf.DUMMYFUNCTION("""COMPUTED_VALUE"""),"maybe? because theres a start further down but that start overlaps greatly with the next gene")</f>
        <v>maybe? because theres a start further down but that start overlaps greatly with the next gene</v>
      </c>
      <c r="C8" s="6" t="str">
        <f ca="1">IFERROR(__xludf.DUMMYFUNCTION("""COMPUTED_VALUE"""),"No, has starts after the one chosen")</f>
        <v>No, has starts after the one chosen</v>
      </c>
      <c r="D8" s="6"/>
    </row>
    <row r="9" spans="1:4" ht="15.75" customHeight="1" x14ac:dyDescent="0.15">
      <c r="A9" s="5" t="s">
        <v>8</v>
      </c>
      <c r="B9" s="6" t="str">
        <f ca="1">IFERROR(__xludf.DUMMYFUNCTION("""COMPUTED_VALUE"""),"Gap with next: 5 bp")</f>
        <v>Gap with next: 5 bp</v>
      </c>
      <c r="C9" s="6" t="str">
        <f ca="1">IFERROR(__xludf.DUMMYFUNCTION("""COMPUTED_VALUE"""),"gap of 5 nucleotides")</f>
        <v>gap of 5 nucleotides</v>
      </c>
      <c r="D9" s="6"/>
    </row>
    <row r="10" spans="1:4" ht="15.75" customHeight="1" x14ac:dyDescent="0.15">
      <c r="A10" s="5" t="s">
        <v>9</v>
      </c>
      <c r="B10" s="6" t="str">
        <f ca="1">IFERROR(__xludf.DUMMYFUNCTION("""COMPUTED_VALUE"""),"This is the best score between the two starts: Z-score: 1.646")</f>
        <v>This is the best score between the two starts: Z-score: 1.646</v>
      </c>
      <c r="C10" s="6" t="str">
        <f ca="1">IFERROR(__xludf.DUMMYFUNCTION("""COMPUTED_VALUE"""),"zscore: 1.646, fscore: -5.348. Best score")</f>
        <v>zscore: 1.646, fscore: -5.348. Best score</v>
      </c>
      <c r="D10" s="6"/>
    </row>
    <row r="11" spans="1:4" ht="15.75" customHeight="1" x14ac:dyDescent="0.15">
      <c r="A11" s="5" t="s">
        <v>10</v>
      </c>
      <c r="B11" s="6" t="str">
        <f ca="1">IFERROR(__xludf.DUMMYFUNCTION("""COMPUTED_VALUE"""),"Best hits were Zaheer and Popper; %identity: ; E-val: 0.0e0; Q: 1-85; T: 10-94")</f>
        <v>Best hits were Zaheer and Popper; %identity: ; E-val: 0.0e0; Q: 1-85; T: 10-94</v>
      </c>
      <c r="C11" s="6" t="str">
        <f ca="1">IFERROR(__xludf.DUMMYFUNCTION("""COMPUTED_VALUE"""),"Zaheer_41, 100% identity, eval: 7e-25. Ryan_41, 95.74% identity, eval: 4e-23")</f>
        <v>Zaheer_41, 100% identity, eval: 7e-25. Ryan_41, 95.74% identity, eval: 4e-23</v>
      </c>
      <c r="D11" s="6"/>
    </row>
    <row r="12" spans="1:4" ht="15.75" customHeight="1" x14ac:dyDescent="0.15">
      <c r="A12" s="5" t="s">
        <v>11</v>
      </c>
      <c r="B12" s="6" t="str">
        <f ca="1">IFERROR(__xludf.DUMMYFUNCTION("""COMPUTED_VALUE"""),"start is conserven through members, called 100% when present")</f>
        <v>start is conserven through members, called 100% when present</v>
      </c>
      <c r="C12" s="6" t="str">
        <f ca="1">IFERROR(__xludf.DUMMYFUNCTION("""COMPUTED_VALUE"""),"start found in 13/14, called 100% of the time when present")</f>
        <v>start found in 13/14, called 100% of the time when present</v>
      </c>
      <c r="D12" s="6"/>
    </row>
    <row r="13" spans="1:4" ht="15.75" customHeight="1" x14ac:dyDescent="0.15">
      <c r="A13" s="5" t="s">
        <v>12</v>
      </c>
      <c r="B13" s="6" t="str">
        <f ca="1">IFERROR(__xludf.DUMMYFUNCTION("""COMPUTED_VALUE"""),"no start change")</f>
        <v>no start change</v>
      </c>
      <c r="C13" s="6" t="str">
        <f ca="1">IFERROR(__xludf.DUMMYFUNCTION("""COMPUTED_VALUE"""),"Start not changed, has the best z-score (rbs), and the start is called 100% of the time when present.")</f>
        <v>Start not changed, has the best z-score (rbs), and the start is called 100% of the time when present.</v>
      </c>
      <c r="D13" s="6"/>
    </row>
    <row r="14" spans="1:4" ht="15.75" customHeight="1" x14ac:dyDescent="0.15">
      <c r="A14" s="5" t="s">
        <v>13</v>
      </c>
      <c r="B14" s="6" t="str">
        <f ca="1">IFERROR(__xludf.DUMMYFUNCTION("""COMPUTED_VALUE"""),"Zaheer_41: 5e-21")</f>
        <v>Zaheer_41: 5e-21</v>
      </c>
      <c r="C14" s="6" t="str">
        <f ca="1">IFERROR(__xludf.DUMMYFUNCTION("""COMPUTED_VALUE"""),"Zaheer_41, eval: 5e-21, Popper_29, eval: 5e-21")</f>
        <v>Zaheer_41, eval: 5e-21, Popper_29, eval: 5e-21</v>
      </c>
      <c r="D14" s="6"/>
    </row>
    <row r="15" spans="1:4" ht="15.75" customHeight="1" x14ac:dyDescent="0.15">
      <c r="A15" s="5" t="s">
        <v>14</v>
      </c>
      <c r="B15" s="6" t="str">
        <f ca="1">IFERROR(__xludf.DUMMYFUNCTION("""COMPUTED_VALUE"""),"Zaheer: function unknown")</f>
        <v>Zaheer: function unknown</v>
      </c>
      <c r="C15" s="6" t="str">
        <f ca="1">IFERROR(__xludf.DUMMYFUNCTION("""COMPUTED_VALUE"""),"Both have unknown functions")</f>
        <v>Both have unknown functions</v>
      </c>
      <c r="D15" s="6"/>
    </row>
    <row r="16" spans="1:4" ht="15.75" customHeight="1" x14ac:dyDescent="0.15">
      <c r="A16" s="5" t="s">
        <v>15</v>
      </c>
      <c r="B16" s="6" t="str">
        <f ca="1">IFERROR(__xludf.DUMMYFUNCTION("""COMPUTED_VALUE"""),"found in the same gentic environment as Nandita_41")</f>
        <v>found in the same gentic environment as Nandita_41</v>
      </c>
      <c r="C16" s="6" t="str">
        <f ca="1">IFERROR(__xludf.DUMMYFUNCTION("""COMPUTED_VALUE"""),"Yes, adjacent to genes 37-43 in Nandita")</f>
        <v>Yes, adjacent to genes 37-43 in Nandita</v>
      </c>
      <c r="D16" s="6"/>
    </row>
    <row r="17" spans="1:4" ht="15.75" customHeight="1" x14ac:dyDescent="0.15">
      <c r="A17" s="5" t="s">
        <v>16</v>
      </c>
      <c r="B17" s="6" t="str">
        <f ca="1">IFERROR(__xludf.DUMMYFUNCTION("""COMPUTED_VALUE"""),"Lots of hits to something called F-Bar category, with lots of different hits under that; Prob: 56.04%; %Q: 55%; %T: 11%; function not in target alignement")</f>
        <v>Lots of hits to something called F-Bar category, with lots of different hits under that; Prob: 56.04%; %Q: 55%; %T: 11%; function not in target alignement</v>
      </c>
      <c r="C17" s="6" t="str">
        <f ca="1">IFERROR(__xludf.DUMMYFUNCTION("""COMPUTED_VALUE"""),"Syndapin; EFC, FBAR, SH3 domain, ENDOCYTOSIS; HET: GOL, MSE; 2.67A {Drosophila melanogaster}, 55.32% allq, 8.97% allt, The functional domain in the target is not part of the alignment.")</f>
        <v>Syndapin; EFC, FBAR, SH3 domain, ENDOCYTOSIS; HET: GOL, MSE; 2.67A {Drosophila melanogaster}, 55.32% allq, 8.97% allt, The functional domain in the target is not part of the alignment.</v>
      </c>
      <c r="D17" s="6"/>
    </row>
    <row r="18" spans="1:4" ht="15.75" customHeight="1" x14ac:dyDescent="0.15">
      <c r="A18" s="5" t="s">
        <v>17</v>
      </c>
      <c r="B18" s="6" t="str">
        <f ca="1">IFERROR(__xludf.DUMMYFUNCTION("""COMPUTED_VALUE"""),"no conserved domains")</f>
        <v>no conserved domains</v>
      </c>
      <c r="C18" s="6" t="str">
        <f ca="1">IFERROR(__xludf.DUMMYFUNCTION("""COMPUTED_VALUE"""),"None")</f>
        <v>None</v>
      </c>
      <c r="D18" s="6"/>
    </row>
    <row r="19" spans="1:4" ht="15.75" customHeight="1" x14ac:dyDescent="0.15">
      <c r="A19" s="5" t="s">
        <v>18</v>
      </c>
      <c r="B19" s="6" t="str">
        <f ca="1">IFERROR(__xludf.DUMMYFUNCTION("""COMPUTED_VALUE"""),"not a mambrane protien, most liekly inside the membrane")</f>
        <v>not a mambrane protien, most liekly inside the membrane</v>
      </c>
      <c r="C19" s="6" t="str">
        <f ca="1">IFERROR(__xludf.DUMMYFUNCTION("""COMPUTED_VALUE"""),"None")</f>
        <v>None</v>
      </c>
      <c r="D19" s="6"/>
    </row>
    <row r="20" spans="1:4" ht="15.75" customHeight="1" x14ac:dyDescent="0.15">
      <c r="A20" s="5" t="s">
        <v>19</v>
      </c>
      <c r="B20" s="6" t="str">
        <f ca="1">IFERROR(__xludf.DUMMYFUNCTION("""COMPUTED_VALUE"""),"Hypothetical protien because when looking at the hits and the call list, nothing matches but it still has some sort of function")</f>
        <v>Hypothetical protien because when looking at the hits and the call list, nothing matches but it still has some sort of function</v>
      </c>
      <c r="C20" s="6" t="str">
        <f ca="1">IFERROR(__xludf.DUMMYFUNCTION("""COMPUTED_VALUE"""),"Hypothetical protein, all homologous genes have unknown functions, HHpred didn't have any good hits.")</f>
        <v>Hypothetical protein, all homologous genes have unknown functions, HHpred didn't have any good hits.</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IFERROR(__xludf.DUMMYFUNCTION("IMPORTRANGE(""https://docs.google.com/spreadsheets/d/12D2a8_yN9-M20Swe1qSSTzsOdHwl9WpMkqw3nyC2tRc"", ""S44!B1:B22"")"),"Noelle Labadens")</f>
        <v>Noelle Labadens</v>
      </c>
      <c r="C1" s="11" t="str">
        <f ca="1">IFERROR(__xludf.DUMMYFUNCTION("IMPORTRANGE(""https://docs.google.com/spreadsheets/d/1mDoveT5ogJcal0bN308rf9jioMYsAcKe21Otdt4nuTk"", ""S44!B1:B22"")"),"Put Your Name Here")</f>
        <v>Put Your Name Here</v>
      </c>
      <c r="D1" s="2" t="s">
        <v>0</v>
      </c>
    </row>
    <row r="2" spans="1:4" ht="15.75" customHeight="1" x14ac:dyDescent="0.15">
      <c r="A2" s="3" t="s">
        <v>1</v>
      </c>
      <c r="B2" s="4" t="str">
        <f ca="1">IFERROR(__xludf.DUMMYFUNCTION("""COMPUTED_VALUE"""),"30402- 30145 REV")</f>
        <v>30402- 30145 REV</v>
      </c>
      <c r="C2" s="4" t="str">
        <f ca="1">IFERROR(__xludf.DUMMYFUNCTION("""COMPUTED_VALUE"""),"30402 - 30145 REV")</f>
        <v>30402 - 30145 REV</v>
      </c>
      <c r="D2" s="4"/>
    </row>
    <row r="3" spans="1:4" ht="15.75" customHeight="1" x14ac:dyDescent="0.15">
      <c r="A3" s="5" t="s">
        <v>2</v>
      </c>
      <c r="B3" s="6" t="str">
        <f ca="1">IFERROR(__xludf.DUMMYFUNCTION("""COMPUTED_VALUE"""),"44 Phamerator; DNA Master 40 ")</f>
        <v xml:space="preserve">44 Phamerator; DNA Master 40 </v>
      </c>
      <c r="C3" s="6" t="str">
        <f ca="1">IFERROR(__xludf.DUMMYFUNCTION("""COMPUTED_VALUE"""),"Phamerator_44
DNA Master_42")</f>
        <v>Phamerator_44
DNA Master_42</v>
      </c>
      <c r="D3" s="6"/>
    </row>
    <row r="4" spans="1:4" ht="15.75" customHeight="1" x14ac:dyDescent="0.15">
      <c r="A4" s="5" t="s">
        <v>3</v>
      </c>
      <c r="B4" s="6" t="str">
        <f ca="1">IFERROR(__xludf.DUMMYFUNCTION("""COMPUTED_VALUE"""),"pham 28153")</f>
        <v>pham 28153</v>
      </c>
      <c r="C4" s="6" t="str">
        <f ca="1">IFERROR(__xludf.DUMMYFUNCTION("""COMPUTED_VALUE"""),"28153 4/2/25")</f>
        <v>28153 4/2/25</v>
      </c>
      <c r="D4" s="6"/>
    </row>
    <row r="5" spans="1:4" ht="15.75" customHeight="1" x14ac:dyDescent="0.15">
      <c r="A5" s="5" t="s">
        <v>4</v>
      </c>
      <c r="B5" s="6" t="str">
        <f ca="1">IFERROR(__xludf.DUMMYFUNCTION("""COMPUTED_VALUE"""),"AllBusiness_38, Cole_39")</f>
        <v>AllBusiness_38, Cole_39</v>
      </c>
      <c r="C5" s="6" t="str">
        <f ca="1">IFERROR(__xludf.DUMMYFUNCTION("""COMPUTED_VALUE"""),"Nandita_42")</f>
        <v>Nandita_42</v>
      </c>
      <c r="D5" s="6"/>
    </row>
    <row r="6" spans="1:4" ht="15.75" customHeight="1" x14ac:dyDescent="0.15">
      <c r="A6" s="5" t="s">
        <v>5</v>
      </c>
      <c r="B6" s="6" t="str">
        <f ca="1">IFERROR(__xludf.DUMMYFUNCTION("""COMPUTED_VALUE"""),"glimmer call")</f>
        <v>glimmer call</v>
      </c>
      <c r="C6" s="6" t="str">
        <f ca="1">IFERROR(__xludf.DUMMYFUNCTION("""COMPUTED_VALUE"""),"Glimmer calls @bp 30402strength8.64; Gene mark calls @bp 30417")</f>
        <v>Glimmer calls @bp 30402strength8.64; Gene mark calls @bp 30417</v>
      </c>
      <c r="D6" s="6"/>
    </row>
    <row r="7" spans="1:4" ht="15.75" customHeight="1" x14ac:dyDescent="0.15">
      <c r="A7" s="5" t="s">
        <v>6</v>
      </c>
      <c r="B7" s="6" t="str">
        <f ca="1">IFERROR(__xludf.DUMMYFUNCTION("""COMPUTED_VALUE"""),"good coding potential, captures most of the gene")</f>
        <v>good coding potential, captures most of the gene</v>
      </c>
      <c r="C7" s="6" t="str">
        <f ca="1">IFERROR(__xludf.DUMMYFUNCTION("""COMPUTED_VALUE"""),"yes there is coding potential but the current start does not capture all coding potential ")</f>
        <v xml:space="preserve">yes there is coding potential but the current start does not capture all coding potential </v>
      </c>
      <c r="D7" s="6"/>
    </row>
    <row r="8" spans="1:4" ht="15.75" customHeight="1" x14ac:dyDescent="0.15">
      <c r="A8" s="5" t="s">
        <v>7</v>
      </c>
      <c r="B8" s="6" t="str">
        <f ca="1">IFERROR(__xludf.DUMMYFUNCTION("""COMPUTED_VALUE"""),"yes")</f>
        <v>yes</v>
      </c>
      <c r="C8" s="6" t="str">
        <f ca="1">IFERROR(__xludf.DUMMYFUNCTION("""COMPUTED_VALUE"""),"no, there are 3 previous starts")</f>
        <v>no, there are 3 previous starts</v>
      </c>
      <c r="D8" s="6"/>
    </row>
    <row r="9" spans="1:4" ht="15.75" customHeight="1" x14ac:dyDescent="0.15">
      <c r="A9" s="5" t="s">
        <v>8</v>
      </c>
      <c r="B9" s="6" t="str">
        <f ca="1">IFERROR(__xludf.DUMMYFUNCTION("""COMPUTED_VALUE"""),"24 nt gap")</f>
        <v>24 nt gap</v>
      </c>
      <c r="C9" s="6" t="str">
        <f ca="1">IFERROR(__xludf.DUMMYFUNCTION("""COMPUTED_VALUE"""),"24 nt gap ")</f>
        <v xml:space="preserve">24 nt gap </v>
      </c>
      <c r="D9" s="6"/>
    </row>
    <row r="10" spans="1:4" ht="15.75" customHeight="1" x14ac:dyDescent="0.15">
      <c r="A10" s="5" t="s">
        <v>9</v>
      </c>
      <c r="B10" s="6" t="str">
        <f ca="1">IFERROR(__xludf.DUMMYFUNCTION("""COMPUTED_VALUE"""),"z score - 3.004")</f>
        <v>z score - 3.004</v>
      </c>
      <c r="C10" s="6" t="str">
        <f ca="1">IFERROR(__xludf.DUMMYFUNCTION("""COMPUTED_VALUE"""),"current start has good z score (2.311), start 30429 has best Z score (3.004)")</f>
        <v>current start has good z score (2.311), start 30429 has best Z score (3.004)</v>
      </c>
      <c r="D10" s="6"/>
    </row>
    <row r="11" spans="1:4" ht="15.75" customHeight="1" x14ac:dyDescent="0.15">
      <c r="A11" s="5" t="s">
        <v>10</v>
      </c>
      <c r="B11" s="6" t="str">
        <f ca="1">IFERROR(__xludf.DUMMYFUNCTION("""COMPUTED_VALUE"""),"Zaheer_42, 98%, 7e-45, q:1, s:10")</f>
        <v>Zaheer_42, 98%, 7e-45, q:1, s:10</v>
      </c>
      <c r="C11" s="6" t="str">
        <f ca="1">IFERROR(__xludf.DUMMYFUNCTION("""COMPUTED_VALUE"""),"Zaheer_42; 89.4% identity; 7.04627e-55")</f>
        <v>Zaheer_42; 89.4% identity; 7.04627e-55</v>
      </c>
      <c r="D11" s="6"/>
    </row>
    <row r="12" spans="1:4" ht="15.75" customHeight="1" x14ac:dyDescent="0.15">
      <c r="A12" s="5" t="s">
        <v>11</v>
      </c>
      <c r="B12" s="6" t="str">
        <f ca="1">IFERROR(__xludf.DUMMYFUNCTION("""COMPUTED_VALUE"""),"no, called 11.1% when present. none of these calls are manually annotated")</f>
        <v>no, called 11.1% when present. none of these calls are manually annotated</v>
      </c>
      <c r="C12" s="6" t="str">
        <f ca="1">IFERROR(__xludf.DUMMYFUNCTION("""COMPUTED_VALUE"""),"yes start 1 is called 7 out of 7 times ")</f>
        <v xml:space="preserve">yes start 1 is called 7 out of 7 times </v>
      </c>
      <c r="D12" s="6"/>
    </row>
    <row r="13" spans="1:4" ht="15.75" customHeight="1" x14ac:dyDescent="0.15">
      <c r="A13" s="5" t="s">
        <v>12</v>
      </c>
      <c r="B13" s="6" t="str">
        <f ca="1">IFERROR(__xludf.DUMMYFUNCTION("""COMPUTED_VALUE"""),"no. good coding potential, good z score, can't close the gap.")</f>
        <v>no. good coding potential, good z score, can't close the gap.</v>
      </c>
      <c r="C13" s="6" t="str">
        <f ca="1">IFERROR(__xludf.DUMMYFUNCTION("""COMPUTED_VALUE"""),"yes, moving the start to 30429 removes the gap and is supported by starterator as well as GeneMark")</f>
        <v>yes, moving the start to 30429 removes the gap and is supported by starterator as well as GeneMark</v>
      </c>
      <c r="D13" s="6"/>
    </row>
    <row r="14" spans="1:4" ht="15.75" customHeight="1" x14ac:dyDescent="0.15">
      <c r="A14" s="5" t="s">
        <v>13</v>
      </c>
      <c r="B14" s="6" t="str">
        <f ca="1">IFERROR(__xludf.DUMMYFUNCTION("""COMPUTED_VALUE"""),"Zaheer_42, 7e-45")</f>
        <v>Zaheer_42, 7e-45</v>
      </c>
      <c r="C14" s="6" t="str">
        <f ca="1">IFERROR(__xludf.DUMMYFUNCTION("""COMPUTED_VALUE"""),"Zaheer_42 7e-45 ")</f>
        <v xml:space="preserve">Zaheer_42 7e-45 </v>
      </c>
      <c r="D14" s="6"/>
    </row>
    <row r="15" spans="1:4" ht="15.75" customHeight="1" x14ac:dyDescent="0.15">
      <c r="A15" s="5" t="s">
        <v>14</v>
      </c>
      <c r="B15" s="6" t="str">
        <f ca="1">IFERROR(__xludf.DUMMYFUNCTION("""COMPUTED_VALUE"""),"function unknown")</f>
        <v>function unknown</v>
      </c>
      <c r="C15" s="6" t="str">
        <f ca="1">IFERROR(__xludf.DUMMYFUNCTION("""COMPUTED_VALUE"""),"function unknown ")</f>
        <v xml:space="preserve">function unknown </v>
      </c>
      <c r="D15" s="6"/>
    </row>
    <row r="16" spans="1:4" ht="15.75" customHeight="1" x14ac:dyDescent="0.15">
      <c r="A16" s="5" t="s">
        <v>15</v>
      </c>
      <c r="B16" s="6" t="str">
        <f ca="1">IFERROR(__xludf.DUMMYFUNCTION("""COMPUTED_VALUE"""),"good synteny, all adjacent genes are to be expected")</f>
        <v>good synteny, all adjacent genes are to be expected</v>
      </c>
      <c r="C16" s="6" t="str">
        <f ca="1">IFERROR(__xludf.DUMMYFUNCTION("""COMPUTED_VALUE"""),"it is in a similar genetic environment")</f>
        <v>it is in a similar genetic environment</v>
      </c>
      <c r="D16" s="6"/>
    </row>
    <row r="17" spans="1:4" ht="15.75" customHeight="1" x14ac:dyDescent="0.15">
      <c r="A17" s="5" t="s">
        <v>16</v>
      </c>
      <c r="B17" s="6" t="str">
        <f ca="1">IFERROR(__xludf.DUMMYFUNCTION("""COMPUTED_VALUE"""),"all probabilities below 62%")</f>
        <v>all probabilities below 62%</v>
      </c>
      <c r="C17" s="6" t="str">
        <f ca="1">IFERROR(__xludf.DUMMYFUNCTION("""COMPUTED_VALUE"""),"YL007_MIMIV Uncharacterized protein L7 OS=Acanthamoeba polyphaga mimivirus OX=212035 GN=MIMI_L7 PE=3 SV=1
probability: 61.13%
% alignment Q: 20.0%
% alignment T: 10.9%")</f>
        <v>YL007_MIMIV Uncharacterized protein L7 OS=Acanthamoeba polyphaga mimivirus OX=212035 GN=MIMI_L7 PE=3 SV=1
probability: 61.13%
% alignment Q: 20.0%
% alignment T: 10.9%</v>
      </c>
      <c r="D17" s="6"/>
    </row>
    <row r="18" spans="1:4" ht="15.75" customHeight="1" x14ac:dyDescent="0.15">
      <c r="A18" s="5" t="s">
        <v>17</v>
      </c>
      <c r="B18" s="6" t="str">
        <f ca="1">IFERROR(__xludf.DUMMYFUNCTION("""COMPUTED_VALUE"""),"none")</f>
        <v>none</v>
      </c>
      <c r="C18" s="6" t="str">
        <f ca="1">IFERROR(__xludf.DUMMYFUNCTION("""COMPUTED_VALUE"""),"no")</f>
        <v>no</v>
      </c>
      <c r="D18" s="6"/>
    </row>
    <row r="19" spans="1:4" ht="15.75" customHeight="1" x14ac:dyDescent="0.15">
      <c r="A19" s="5" t="s">
        <v>18</v>
      </c>
      <c r="B19" s="6" t="str">
        <f ca="1">IFERROR(__xludf.DUMMYFUNCTION("""COMPUTED_VALUE"""),"none")</f>
        <v>none</v>
      </c>
      <c r="C19" s="6" t="str">
        <f ca="1">IFERROR(__xludf.DUMMYFUNCTION("""COMPUTED_VALUE"""),"no")</f>
        <v>no</v>
      </c>
      <c r="D19" s="6"/>
    </row>
    <row r="20" spans="1:4" ht="15.75" customHeight="1" x14ac:dyDescent="0.15">
      <c r="A20" s="5" t="s">
        <v>19</v>
      </c>
      <c r="B20" s="6" t="str">
        <f ca="1">IFERROR(__xludf.DUMMYFUNCTION("""COMPUTED_VALUE"""),"Function unknown. Hhpred didn't have good matches and all of the pham members functions are unknown")</f>
        <v>Function unknown. Hhpred didn't have good matches and all of the pham members functions are unknown</v>
      </c>
      <c r="C20" s="6" t="str">
        <f ca="1">IFERROR(__xludf.DUMMYFUNCTION("""COMPUTED_VALUE"""),"hypothetical protein, poor HHpred results; Phages DB blast shows unknown functions. ")</f>
        <v xml:space="preserve">hypothetical protein, poor HHpred results; Phages DB blast shows unknown functions. </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IFERROR(__xludf.DUMMYFUNCTION("IMPORTRANGE(""https://docs.google.com/spreadsheets/d/1xJbcWhjJwppoDUCHCotLHO1vyy_ugWR-w2T_Z5J7WD4"", ""S45!B1:B22"")"),"Rin Godfrey")</f>
        <v>Rin Godfrey</v>
      </c>
      <c r="C1" s="11" t="str">
        <f ca="1">IFERROR(__xludf.DUMMYFUNCTION("IMPORTRANGE(""https://docs.google.com/spreadsheets/d/1u6ZP_AyBJKGOZ-m1erEe8ylMC_0IEsUBTvQJRRPiF5g"", ""S45!B1:B22"")"),"Erin Loudermilk")</f>
        <v>Erin Loudermilk</v>
      </c>
      <c r="D1" s="2" t="s">
        <v>0</v>
      </c>
    </row>
    <row r="2" spans="1:4" ht="15.75" customHeight="1" x14ac:dyDescent="0.15">
      <c r="A2" s="3" t="s">
        <v>1</v>
      </c>
      <c r="B2" s="4" t="str">
        <f ca="1">IFERROR(__xludf.DUMMYFUNCTION("""COMPUTED_VALUE"""),"30719 - 30426 REV")</f>
        <v>30719 - 30426 REV</v>
      </c>
      <c r="C2" s="4" t="str">
        <f ca="1">IFERROR(__xludf.DUMMYFUNCTION("""COMPUTED_VALUE"""),"30719 - 30426 REV")</f>
        <v>30719 - 30426 REV</v>
      </c>
      <c r="D2" s="4"/>
    </row>
    <row r="3" spans="1:4" ht="15.75" customHeight="1" x14ac:dyDescent="0.15">
      <c r="A3" s="5" t="s">
        <v>2</v>
      </c>
      <c r="B3" s="6" t="str">
        <f ca="1">IFERROR(__xludf.DUMMYFUNCTION("""COMPUTED_VALUE"""),"DNA Master: 43
Phamerator: 45")</f>
        <v>DNA Master: 43
Phamerator: 45</v>
      </c>
      <c r="C3" s="6" t="str">
        <f ca="1">IFERROR(__xludf.DUMMYFUNCTION("""COMPUTED_VALUE"""),"DNA: 43, Pham:45")</f>
        <v>DNA: 43, Pham:45</v>
      </c>
      <c r="D3" s="6"/>
    </row>
    <row r="4" spans="1:4" ht="15.75" customHeight="1" x14ac:dyDescent="0.15">
      <c r="A4" s="5" t="s">
        <v>3</v>
      </c>
      <c r="B4" s="6" t="str">
        <f ca="1">IFERROR(__xludf.DUMMYFUNCTION("""COMPUTED_VALUE"""),"224887 4/7/25")</f>
        <v>224887 4/7/25</v>
      </c>
      <c r="C4" s="6" t="str">
        <f ca="1">IFERROR(__xludf.DUMMYFUNCTION("""COMPUTED_VALUE"""),"Pham 228952 (4/30/2025)")</f>
        <v>Pham 228952 (4/30/2025)</v>
      </c>
      <c r="D4" s="6"/>
    </row>
    <row r="5" spans="1:4" ht="15.75" customHeight="1" x14ac:dyDescent="0.15">
      <c r="A5" s="5" t="s">
        <v>4</v>
      </c>
      <c r="B5" s="6" t="str">
        <f ca="1">IFERROR(__xludf.DUMMYFUNCTION("""COMPUTED_VALUE"""),"GoodLuckBabe_43
Nandita_43 (helix-turn-helix DNA-binding protein)")</f>
        <v>GoodLuckBabe_43
Nandita_43 (helix-turn-helix DNA-binding protein)</v>
      </c>
      <c r="C5" s="6" t="str">
        <f ca="1">IFERROR(__xludf.DUMMYFUNCTION("""COMPUTED_VALUE"""),"Nandita_43")</f>
        <v>Nandita_43</v>
      </c>
      <c r="D5" s="6"/>
    </row>
    <row r="6" spans="1:4" ht="15.75" customHeight="1" x14ac:dyDescent="0.15">
      <c r="A6" s="5" t="s">
        <v>5</v>
      </c>
      <c r="B6" s="6" t="str">
        <f ca="1">IFERROR(__xludf.DUMMYFUNCTION("""COMPUTED_VALUE"""),"Glimmer: call 30719
GeneMark: call 30761")</f>
        <v>Glimmer: call 30719
GeneMark: call 30761</v>
      </c>
      <c r="C6" s="6" t="str">
        <f ca="1">IFERROR(__xludf.DUMMYFUNCTION("""COMPUTED_VALUE"""),"Both call gene, but Genemark calls start at 30761")</f>
        <v>Both call gene, but Genemark calls start at 30761</v>
      </c>
      <c r="D6" s="6"/>
    </row>
    <row r="7" spans="1:4" ht="15.75" customHeight="1" x14ac:dyDescent="0.15">
      <c r="A7" s="5" t="s">
        <v>6</v>
      </c>
      <c r="B7" s="6" t="str">
        <f ca="1">IFERROR(__xludf.DUMMYFUNCTION("""COMPUTED_VALUE"""),"the coding potential is not the best there are some missing information in the middle of the gene.")</f>
        <v>the coding potential is not the best there are some missing information in the middle of the gene.</v>
      </c>
      <c r="C7" s="6" t="str">
        <f ca="1">IFERROR(__xludf.DUMMYFUNCTION("""COMPUTED_VALUE"""),"Gene has good coding potential, including start.")</f>
        <v>Gene has good coding potential, including start.</v>
      </c>
      <c r="D7" s="6"/>
    </row>
    <row r="8" spans="1:4" ht="15.75" customHeight="1" x14ac:dyDescent="0.15">
      <c r="A8" s="5" t="s">
        <v>7</v>
      </c>
      <c r="B8" s="6" t="str">
        <f ca="1">IFERROR(__xludf.DUMMYFUNCTION("""COMPUTED_VALUE"""),"No there are 5 more longer ORF")</f>
        <v>No there are 5 more longer ORF</v>
      </c>
      <c r="C8" s="6" t="str">
        <f ca="1">IFERROR(__xludf.DUMMYFUNCTION("""COMPUTED_VALUE"""),"No, longest possible orf is start 30947")</f>
        <v>No, longest possible orf is start 30947</v>
      </c>
      <c r="D8" s="6"/>
    </row>
    <row r="9" spans="1:4" ht="15.75" customHeight="1" x14ac:dyDescent="0.15">
      <c r="A9" s="5" t="s">
        <v>8</v>
      </c>
      <c r="B9" s="6" t="str">
        <f ca="1">IFERROR(__xludf.DUMMYFUNCTION("""COMPUTED_VALUE"""),"Gap of 1166 nuclited with the next gene")</f>
        <v>Gap of 1166 nuclited with the next gene</v>
      </c>
      <c r="C9" s="6" t="str">
        <f ca="1">IFERROR(__xludf.DUMMYFUNCTION("""COMPUTED_VALUE"""),"593 nucleotide gap")</f>
        <v>593 nucleotide gap</v>
      </c>
      <c r="D9" s="6"/>
    </row>
    <row r="10" spans="1:4" ht="15.75" customHeight="1" x14ac:dyDescent="0.15">
      <c r="A10" s="5" t="s">
        <v>9</v>
      </c>
      <c r="B10" s="6" t="str">
        <f ca="1">IFERROR(__xludf.DUMMYFUNCTION("""COMPUTED_VALUE"""),"Z-score 1.132, F-score -6.780 is the original score but not the best.
This is better Z-score 2.540, F-score -3.469")</f>
        <v>Z-score 1.132, F-score -6.780 is the original score but not the best.
This is better Z-score 2.540, F-score -3.469</v>
      </c>
      <c r="C10" s="6" t="str">
        <f ca="1">IFERROR(__xludf.DUMMYFUNCTION("""COMPUTED_VALUE"""),"1.123 z-score. Best score is 2.524 for 30791")</f>
        <v>1.123 z-score. Best score is 2.524 for 30791</v>
      </c>
      <c r="D10" s="6"/>
    </row>
    <row r="11" spans="1:4" ht="15.75" customHeight="1" x14ac:dyDescent="0.15">
      <c r="A11" s="5" t="s">
        <v>10</v>
      </c>
      <c r="B11" s="6" t="str">
        <f ca="1">IFERROR(__xludf.DUMMYFUNCTION("""COMPUTED_VALUE"""),"Zaheer_43
100.00% identity, 7e-64
q: 1-97, t: 1-97")</f>
        <v>Zaheer_43
100.00% identity, 7e-64
q: 1-97, t: 1-97</v>
      </c>
      <c r="C11" s="6" t="str">
        <f ca="1">IFERROR(__xludf.DUMMYFUNCTION("""COMPUTED_VALUE"""),"Zaheer_43, 100% identity, 6.63229e-64 e-value")</f>
        <v>Zaheer_43, 100% identity, 6.63229e-64 e-value</v>
      </c>
      <c r="D11" s="6"/>
    </row>
    <row r="12" spans="1:4" ht="15.75" customHeight="1" x14ac:dyDescent="0.15">
      <c r="A12" s="5" t="s">
        <v>11</v>
      </c>
      <c r="B12" s="6" t="str">
        <f ca="1">IFERROR(__xludf.DUMMYFUNCTION("""COMPUTED_VALUE"""),"Found in 8 of 21 ( 38.1% ) of genes in pham
 Called 50.0% of time when present
")</f>
        <v xml:space="preserve">Found in 8 of 21 ( 38.1% ) of genes in pham
 Called 50.0% of time when present
</v>
      </c>
      <c r="C12" s="6" t="str">
        <f ca="1">IFERROR(__xludf.DUMMYFUNCTION("""COMPUTED_VALUE"""),"Not conserved in all members of pham, called 42.1% of the time")</f>
        <v>Not conserved in all members of pham, called 42.1% of the time</v>
      </c>
      <c r="D12" s="6"/>
    </row>
    <row r="13" spans="1:4" ht="15.75" customHeight="1" x14ac:dyDescent="0.15">
      <c r="A13" s="5" t="s">
        <v>12</v>
      </c>
      <c r="B13" s="6" t="str">
        <f ca="1">IFERROR(__xludf.DUMMYFUNCTION("""COMPUTED_VALUE"""),"Yes to close the huge gap and to give it more potential with more nucleotide and there is a better RBS")</f>
        <v>Yes to close the huge gap and to give it more potential with more nucleotide and there is a better RBS</v>
      </c>
      <c r="C13" s="6" t="str">
        <f ca="1">IFERROR(__xludf.DUMMYFUNCTION("""COMPUTED_VALUE"""),"Yes. Although the gap is still rather large, it decreases it significantly from the first chosen start. The z-score is better as well.")</f>
        <v>Yes. Although the gap is still rather large, it decreases it significantly from the first chosen start. The z-score is better as well.</v>
      </c>
      <c r="D13" s="6"/>
    </row>
    <row r="14" spans="1:4" ht="15.75" customHeight="1" x14ac:dyDescent="0.15">
      <c r="A14" s="5" t="s">
        <v>13</v>
      </c>
      <c r="B14" s="6" t="str">
        <f ca="1">IFERROR(__xludf.DUMMYFUNCTION("""COMPUTED_VALUE"""),"Zaheer_43, 9e-53 
GoodLuckBabe_Draft_43, 9e-53 ")</f>
        <v xml:space="preserve">Zaheer_43, 9e-53 
GoodLuckBabe_Draft_43, 9e-53 </v>
      </c>
      <c r="C14" s="6" t="str">
        <f ca="1">IFERROR(__xludf.DUMMYFUNCTION("""COMPUTED_VALUE"""),"Zaheer_43, 9e-53 e-value")</f>
        <v>Zaheer_43, 9e-53 e-value</v>
      </c>
      <c r="D14" s="6"/>
    </row>
    <row r="15" spans="1:4" ht="15.75" customHeight="1" x14ac:dyDescent="0.15">
      <c r="A15" s="5" t="s">
        <v>14</v>
      </c>
      <c r="B15" s="6" t="str">
        <f ca="1">IFERROR(__xludf.DUMMYFUNCTION("""COMPUTED_VALUE"""),"Zaheer: helix-turn-helix DNA-binding domain protein
GoodLuckBabe: unknown function")</f>
        <v>Zaheer: helix-turn-helix DNA-binding domain protein
GoodLuckBabe: unknown function</v>
      </c>
      <c r="C15" s="6" t="str">
        <f ca="1">IFERROR(__xludf.DUMMYFUNCTION("""COMPUTED_VALUE"""),"helix-turn-helix DNA-binding domain protein")</f>
        <v>helix-turn-helix DNA-binding domain protein</v>
      </c>
      <c r="D15" s="6"/>
    </row>
    <row r="16" spans="1:4" ht="15.75" customHeight="1" x14ac:dyDescent="0.15">
      <c r="A16" s="5" t="s">
        <v>15</v>
      </c>
      <c r="B16" s="6" t="str">
        <f ca="1">IFERROR(__xludf.DUMMYFUNCTION("""COMPUTED_VALUE"""),"matches well with Nandita")</f>
        <v>matches well with Nandita</v>
      </c>
      <c r="C16" s="6" t="str">
        <f ca="1">IFERROR(__xludf.DUMMYFUNCTION("""COMPUTED_VALUE"""),"Found in similar environment in Nandita")</f>
        <v>Found in similar environment in Nandita</v>
      </c>
      <c r="D16" s="6"/>
    </row>
    <row r="17" spans="1:4" ht="15.75" customHeight="1" x14ac:dyDescent="0.15">
      <c r="A17" s="5" t="s">
        <v>16</v>
      </c>
      <c r="B17" s="6" t="str">
        <f ca="1">IFERROR(__xludf.DUMMYFUNCTION("""COMPUTED_VALUE"""),"8C3L_A Phage repressor protein CI; CI repressor, DNA binding, HTH motif, Helix-turn-helix, nanobody complex, nanobody, DNA BINDING PROTEIN; HET: IOD; 1.59709555301A {Escherichia coli O157:H7}
Probability: 97.85%
Query: 37%
Target: 55%
The functional domai"&amp;"n is not present.")</f>
        <v>8C3L_A Phage repressor protein CI; CI repressor, DNA binding, HTH motif, Helix-turn-helix, nanobody complex, nanobody, DNA BINDING PROTEIN; HET: IOD; 1.59709555301A {Escherichia coli O157:H7}
Probability: 97.85%
Query: 37%
Target: 55%
The functional domain is not present.</v>
      </c>
      <c r="C17" s="6" t="str">
        <f ca="1">IFERROR(__xludf.DUMMYFUNCTION("""COMPUTED_VALUE"""),"8C3L_C	Phage repressor protein CI; CI repressor, DNA binding, HTH motif, Helix-turn-helix, nanobody complex, nanobody, DNA BINDING PROTEIN. 97.8% probability, 2.6% query, 39.66% target. Functional domain is apart of the alignment.")</f>
        <v>8C3L_C	Phage repressor protein CI; CI repressor, DNA binding, HTH motif, Helix-turn-helix, nanobody complex, nanobody, DNA BINDING PROTEIN. 97.8% probability, 2.6% query, 39.66% target. Functional domain is apart of the alignment.</v>
      </c>
      <c r="D17" s="6"/>
    </row>
    <row r="18" spans="1:4" ht="15.75" customHeight="1" x14ac:dyDescent="0.15">
      <c r="A18" s="5" t="s">
        <v>17</v>
      </c>
      <c r="B18" s="6" t="str">
        <f ca="1">IFERROR(__xludf.DUMMYFUNCTION("""COMPUTED_VALUE"""),"none")</f>
        <v>none</v>
      </c>
      <c r="C18" s="6" t="str">
        <f ca="1">IFERROR(__xludf.DUMMYFUNCTION("""COMPUTED_VALUE"""),"None")</f>
        <v>None</v>
      </c>
      <c r="D18" s="6"/>
    </row>
    <row r="19" spans="1:4" ht="15.75" customHeight="1" x14ac:dyDescent="0.15">
      <c r="A19" s="5" t="s">
        <v>18</v>
      </c>
      <c r="B19" s="6" t="str">
        <f ca="1">IFERROR(__xludf.DUMMYFUNCTION("""COMPUTED_VALUE"""),"none")</f>
        <v>none</v>
      </c>
      <c r="C19" s="6" t="str">
        <f ca="1">IFERROR(__xludf.DUMMYFUNCTION("""COMPUTED_VALUE"""),"None")</f>
        <v>None</v>
      </c>
      <c r="D19" s="6"/>
    </row>
    <row r="20" spans="1:4" ht="15.75" customHeight="1" x14ac:dyDescent="0.15">
      <c r="A20" s="5" t="s">
        <v>19</v>
      </c>
      <c r="B20" s="6" t="str">
        <f ca="1">IFERROR(__xludf.DUMMYFUNCTION("""COMPUTED_VALUE"""),"DNA binding protein
It could be a section of this type of function. It match with other filmiler gene that are in other phages.")</f>
        <v>DNA binding protein
It could be a section of this type of function. It match with other filmiler gene that are in other phages.</v>
      </c>
      <c r="C20" s="6" t="str">
        <f ca="1">IFERROR(__xludf.DUMMYFUNCTION("""COMPUTED_VALUE"""),"helix-turn-helix DNA-binding domain protein")</f>
        <v>helix-turn-helix DNA-binding domain protein</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IFERROR(__xludf.DUMMYFUNCTION("IMPORTRANGE(""https://docs.google.com/spreadsheets/d/1lnhM27PotbG3sLgv1l-Z-v-YjCyKJ0DlymQrusc2STA"", ""S46!B1:B22"")"),"Layla Baldwin")</f>
        <v>Layla Baldwin</v>
      </c>
      <c r="C1" s="11" t="str">
        <f ca="1">IFERROR(__xludf.DUMMYFUNCTION("IMPORTRANGE(""https://docs.google.com/spreadsheets/d/14y37YetMnZx9r75GG6HNm6HxdMfX_704WhJDUt8FSgU"", ""S46!B1:B22"")"),"Braden Brennan")</f>
        <v>Braden Brennan</v>
      </c>
      <c r="D1" s="2" t="s">
        <v>0</v>
      </c>
    </row>
    <row r="2" spans="1:4" ht="15.75" customHeight="1" x14ac:dyDescent="0.15">
      <c r="A2" s="3" t="s">
        <v>1</v>
      </c>
      <c r="B2" s="4" t="str">
        <f ca="1">IFERROR(__xludf.DUMMYFUNCTION("""COMPUTED_VALUE"""),"31313 to 31885 (Forward)")</f>
        <v>31313 to 31885 (Forward)</v>
      </c>
      <c r="C2" s="4" t="str">
        <f ca="1">IFERROR(__xludf.DUMMYFUNCTION("""COMPUTED_VALUE"""),"31313 - 31885 Forward")</f>
        <v>31313 - 31885 Forward</v>
      </c>
      <c r="D2" s="4"/>
    </row>
    <row r="3" spans="1:4" ht="15.75" customHeight="1" x14ac:dyDescent="0.15">
      <c r="A3" s="5" t="s">
        <v>2</v>
      </c>
      <c r="B3" s="6" t="str">
        <f ca="1">IFERROR(__xludf.DUMMYFUNCTION("""COMPUTED_VALUE"""),"46 in Pham and PDB, 44 in DNAM")</f>
        <v>46 in Pham and PDB, 44 in DNAM</v>
      </c>
      <c r="C3" s="6" t="str">
        <f ca="1">IFERROR(__xludf.DUMMYFUNCTION("""COMPUTED_VALUE"""),"PHAM:46  DNAM:44")</f>
        <v>PHAM:46  DNAM:44</v>
      </c>
      <c r="D3" s="6"/>
    </row>
    <row r="4" spans="1:4" ht="15.75" customHeight="1" x14ac:dyDescent="0.15">
      <c r="A4" s="5" t="s">
        <v>3</v>
      </c>
      <c r="B4" s="6" t="str">
        <f ca="1">IFERROR(__xludf.DUMMYFUNCTION("""COMPUTED_VALUE"""),"224984, 4/7/25")</f>
        <v>224984, 4/7/25</v>
      </c>
      <c r="C4" s="6" t="str">
        <f ca="1">IFERROR(__xludf.DUMMYFUNCTION("""COMPUTED_VALUE"""),"pham 224984   4/4/2025")</f>
        <v>pham 224984   4/4/2025</v>
      </c>
      <c r="D4" s="6"/>
    </row>
    <row r="5" spans="1:4" ht="15.75" customHeight="1" x14ac:dyDescent="0.15">
      <c r="A5" s="5" t="s">
        <v>4</v>
      </c>
      <c r="B5" s="6" t="str">
        <f ca="1">IFERROR(__xludf.DUMMYFUNCTION("""COMPUTED_VALUE"""),"AllBusiness_41, Ball_33, Donatella_43")</f>
        <v>AllBusiness_41, Ball_33, Donatella_43</v>
      </c>
      <c r="C5" s="6"/>
      <c r="D5" s="6"/>
    </row>
    <row r="6" spans="1:4" ht="15.75" customHeight="1" x14ac:dyDescent="0.15">
      <c r="A6" s="5" t="s">
        <v>5</v>
      </c>
      <c r="B6" s="6" t="str">
        <f ca="1">IFERROR(__xludf.DUMMYFUNCTION("""COMPUTED_VALUE"""),"Both call")</f>
        <v>Both call</v>
      </c>
      <c r="C6" s="6" t="str">
        <f ca="1">IFERROR(__xludf.DUMMYFUNCTION("""COMPUTED_VALUE"""),"Original Glimmer call @bp 31313 has strength 10.16")</f>
        <v>Original Glimmer call @bp 31313 has strength 10.16</v>
      </c>
      <c r="D6" s="6"/>
    </row>
    <row r="7" spans="1:4" ht="15.75" customHeight="1" x14ac:dyDescent="0.15">
      <c r="A7" s="5" t="s">
        <v>6</v>
      </c>
      <c r="B7" s="6" t="str">
        <f ca="1">IFERROR(__xludf.DUMMYFUNCTION("""COMPUTED_VALUE"""),"Okay coding potential, big dip towards last 1/4 and little dip in first 1/4. Start captures potential")</f>
        <v>Okay coding potential, big dip towards last 1/4 and little dip in first 1/4. Start captures potential</v>
      </c>
      <c r="C7" s="6" t="str">
        <f ca="1">IFERROR(__xludf.DUMMYFUNCTION("""COMPUTED_VALUE"""),"good but has one major drop off")</f>
        <v>good but has one major drop off</v>
      </c>
      <c r="D7" s="6"/>
    </row>
    <row r="8" spans="1:4" ht="15.75" customHeight="1" x14ac:dyDescent="0.15">
      <c r="A8" s="5" t="s">
        <v>7</v>
      </c>
      <c r="B8" s="6" t="str">
        <f ca="1">IFERROR(__xludf.DUMMYFUNCTION("""COMPUTED_VALUE"""),"No, no previous starts")</f>
        <v>No, no previous starts</v>
      </c>
      <c r="C8" s="6" t="str">
        <f ca="1">IFERROR(__xludf.DUMMYFUNCTION("""COMPUTED_VALUE"""),"Yes longest possible ORF")</f>
        <v>Yes longest possible ORF</v>
      </c>
      <c r="D8" s="6"/>
    </row>
    <row r="9" spans="1:4" ht="15.75" customHeight="1" x14ac:dyDescent="0.15">
      <c r="A9" s="5" t="s">
        <v>8</v>
      </c>
      <c r="B9" s="6" t="str">
        <f ca="1">IFERROR(__xludf.DUMMYFUNCTION("""COMPUTED_VALUE"""),"594 bp gap")</f>
        <v>594 bp gap</v>
      </c>
      <c r="C9" s="6" t="str">
        <f ca="1">IFERROR(__xludf.DUMMYFUNCTION("""COMPUTED_VALUE"""),"594 nucleotide gap, the gene before is reversed but I don't know if that has to do with it")</f>
        <v>594 nucleotide gap, the gene before is reversed but I don't know if that has to do with it</v>
      </c>
      <c r="D9" s="6"/>
    </row>
    <row r="10" spans="1:4" ht="15.75" customHeight="1" x14ac:dyDescent="0.15">
      <c r="A10" s="5" t="s">
        <v>9</v>
      </c>
      <c r="B10" s="6" t="str">
        <f ca="1">IFERROR(__xludf.DUMMYFUNCTION("""COMPUTED_VALUE"""),"Z = 1.702, final = -5.294. Best final and second best Z.")</f>
        <v>Z = 1.702, final = -5.294. Best final and second best Z.</v>
      </c>
      <c r="C10" s="6" t="str">
        <f ca="1">IFERROR(__xludf.DUMMYFUNCTION("""COMPUTED_VALUE"""),"SD: -4.428  Z: 1.743  Final: -5.428")</f>
        <v>SD: -4.428  Z: 1.743  Final: -5.428</v>
      </c>
      <c r="D10" s="6"/>
    </row>
    <row r="11" spans="1:4" ht="15.75" customHeight="1" x14ac:dyDescent="0.15">
      <c r="A11" s="5" t="s">
        <v>10</v>
      </c>
      <c r="B11" s="6" t="str">
        <f ca="1">IFERROR(__xludf.DUMMYFUNCTION("""COMPUTED_VALUE"""),"Zaheer, identity = 99.47, e = 9e-136. QuinnAvery, identity = 97.37, e = 9e-133")</f>
        <v>Zaheer, identity = 99.47, e = 9e-136. QuinnAvery, identity = 97.37, e = 9e-133</v>
      </c>
      <c r="C11" s="6" t="str">
        <f ca="1">IFERROR(__xludf.DUMMYFUNCTION("""COMPUTED_VALUE"""),"hypothetical protein (Zaheer)- 99.5% identity- (9.12533e-136         hypothetical protein (Cole)- 96.8% identity- (1.47353e-131")</f>
        <v>hypothetical protein (Zaheer)- 99.5% identity- (9.12533e-136         hypothetical protein (Cole)- 96.8% identity- (1.47353e-131</v>
      </c>
      <c r="D11" s="6"/>
    </row>
    <row r="12" spans="1:4" ht="15.75" customHeight="1" x14ac:dyDescent="0.15">
      <c r="A12" s="5" t="s">
        <v>11</v>
      </c>
      <c r="B12" s="6" t="str">
        <f ca="1">IFERROR(__xludf.DUMMYFUNCTION("""COMPUTED_VALUE"""),"Found in 13/15 members and called 92.3% of the time")</f>
        <v>Found in 13/15 members and called 92.3% of the time</v>
      </c>
      <c r="C12" s="6" t="str">
        <f ca="1">IFERROR(__xludf.DUMMYFUNCTION("""COMPUTED_VALUE"""),"Found in 13 of 15 ( 86.7% ) of genes in pham called 92.3% of the time")</f>
        <v>Found in 13 of 15 ( 86.7% ) of genes in pham called 92.3% of the time</v>
      </c>
      <c r="D12" s="6"/>
    </row>
    <row r="13" spans="1:4" ht="15.75" customHeight="1" x14ac:dyDescent="0.15">
      <c r="A13" s="5" t="s">
        <v>12</v>
      </c>
      <c r="B13" s="6" t="str">
        <f ca="1">IFERROR(__xludf.DUMMYFUNCTION("""COMPUTED_VALUE"""),"No, no reason to ")</f>
        <v xml:space="preserve">No, no reason to </v>
      </c>
      <c r="C13" s="6" t="str">
        <f ca="1">IFERROR(__xludf.DUMMYFUNCTION("""COMPUTED_VALUE"""),"No start remains the same")</f>
        <v>No start remains the same</v>
      </c>
      <c r="D13" s="6"/>
    </row>
    <row r="14" spans="1:4" ht="15.75" customHeight="1" x14ac:dyDescent="0.15">
      <c r="A14" s="5" t="s">
        <v>13</v>
      </c>
      <c r="B14" s="6" t="str">
        <f ca="1">IFERROR(__xludf.DUMMYFUNCTION("""COMPUTED_VALUE"""),"Guinevere_44, e = e-106. Zaheer_45, e = e-106")</f>
        <v>Guinevere_44, e = e-106. Zaheer_45, e = e-106</v>
      </c>
      <c r="C14" s="6" t="str">
        <f ca="1">IFERROR(__xludf.DUMMYFUNCTION("""COMPUTED_VALUE"""),"AllBusiness_41 Ball_33 CocoCinnamon_40 Donatella_43 Guinevere_44 Gusanita_42")</f>
        <v>AllBusiness_41 Ball_33 CocoCinnamon_40 Donatella_43 Guinevere_44 Gusanita_42</v>
      </c>
      <c r="D14" s="6"/>
    </row>
    <row r="15" spans="1:4" ht="15.75" customHeight="1" x14ac:dyDescent="0.15">
      <c r="A15" s="5" t="s">
        <v>14</v>
      </c>
      <c r="B15" s="6" t="str">
        <f ca="1">IFERROR(__xludf.DUMMYFUNCTION("""COMPUTED_VALUE"""),"Unknown function for both")</f>
        <v>Unknown function for both</v>
      </c>
      <c r="C15" s="6" t="str">
        <f ca="1">IFERROR(__xludf.DUMMYFUNCTION("""COMPUTED_VALUE"""),"No function given")</f>
        <v>No function given</v>
      </c>
      <c r="D15" s="6"/>
    </row>
    <row r="16" spans="1:4" ht="15.75" customHeight="1" x14ac:dyDescent="0.15">
      <c r="A16" s="5" t="s">
        <v>15</v>
      </c>
      <c r="B16" s="6" t="str">
        <f ca="1">IFERROR(__xludf.DUMMYFUNCTION("""COMPUTED_VALUE"""),"Yes")</f>
        <v>Yes</v>
      </c>
      <c r="C16" s="6" t="str">
        <f ca="1">IFERROR(__xludf.DUMMYFUNCTION("""COMPUTED_VALUE"""),"Fits well into sequence but does have a VERY large gap between itself and its previous gene")</f>
        <v>Fits well into sequence but does have a VERY large gap between itself and its previous gene</v>
      </c>
      <c r="D16" s="6"/>
    </row>
    <row r="17" spans="1:4" ht="15.75" customHeight="1" x14ac:dyDescent="0.15">
      <c r="A17" s="5" t="s">
        <v>16</v>
      </c>
      <c r="B17" s="6" t="str">
        <f ca="1">IFERROR(__xludf.DUMMYFUNCTION("""COMPUTED_VALUE"""),"7K3H_B Network hallucinated protein 0217; helical bundle, machine learning, DE NOVO PROTEIN; 3.0A {synthetic construct}, probability = 84.83, aoq = 29.5, aot = 46.3, no functional domain")</f>
        <v>7K3H_B Network hallucinated protein 0217; helical bundle, machine learning, DE NOVO PROTEIN; 3.0A {synthetic construct}, probability = 84.83, aoq = 29.5, aot = 46.3, no functional domain</v>
      </c>
      <c r="C17" s="6" t="str">
        <f ca="1">IFERROR(__xludf.DUMMYFUNCTION("""COMPUTED_VALUE"""),"7K3H_A Network hallucinated protein) 84.83% probability) 29.47% Q) 46.28% T)          	Q66639 UL96_EHV2 Gene 35 protein OS=Equine herpesvirus 2) 69.67%probability) 31.05% Q) 38.31% T)")</f>
        <v>7K3H_A Network hallucinated protein) 84.83% probability) 29.47% Q) 46.28% T)          	Q66639 UL96_EHV2 Gene 35 protein OS=Equine herpesvirus 2) 69.67%probability) 31.05% Q) 38.31% T)</v>
      </c>
      <c r="D17" s="6"/>
    </row>
    <row r="18" spans="1:4" ht="15.75" customHeight="1" x14ac:dyDescent="0.15">
      <c r="A18" s="5" t="s">
        <v>17</v>
      </c>
      <c r="B18" s="6" t="str">
        <f ca="1">IFERROR(__xludf.DUMMYFUNCTION("""COMPUTED_VALUE"""),"No")</f>
        <v>No</v>
      </c>
      <c r="C18" s="6" t="str">
        <f ca="1">IFERROR(__xludf.DUMMYFUNCTION("""COMPUTED_VALUE"""),"No conserve domain listed")</f>
        <v>No conserve domain listed</v>
      </c>
      <c r="D18" s="6"/>
    </row>
    <row r="19" spans="1:4" ht="15.75" customHeight="1" x14ac:dyDescent="0.15">
      <c r="A19" s="5" t="s">
        <v>18</v>
      </c>
      <c r="B19" s="6" t="str">
        <f ca="1">IFERROR(__xludf.DUMMYFUNCTION("""COMPUTED_VALUE"""),"No")</f>
        <v>No</v>
      </c>
      <c r="C19" s="6" t="str">
        <f ca="1">IFERROR(__xludf.DUMMYFUNCTION("""COMPUTED_VALUE"""),"inside probability of 1")</f>
        <v>inside probability of 1</v>
      </c>
      <c r="D19" s="6"/>
    </row>
    <row r="20" spans="1:4" ht="15.75" customHeight="1" x14ac:dyDescent="0.15">
      <c r="A20" s="5" t="s">
        <v>19</v>
      </c>
      <c r="B20" s="6" t="str">
        <f ca="1">IFERROR(__xludf.DUMMYFUNCTION("""COMPUTED_VALUE"""),"Hypothetical function, no evidence to support any function so hypothetical")</f>
        <v>Hypothetical function, no evidence to support any function so hypothetical</v>
      </c>
      <c r="C20" s="6" t="str">
        <f ca="1">IFERROR(__xludf.DUMMYFUNCTION("""COMPUTED_VALUE"""),"Hypothetical protein due to its relation to the NCBI blast results")</f>
        <v>Hypothetical protein due to its relation to the NCBI blast results</v>
      </c>
      <c r="D20" s="6"/>
    </row>
    <row r="21" spans="1:4" x14ac:dyDescent="0.2">
      <c r="A21" s="7"/>
      <c r="B21" s="8"/>
      <c r="C21" s="8"/>
      <c r="D21" s="8"/>
    </row>
    <row r="22" spans="1:4" ht="15.75" customHeight="1" x14ac:dyDescent="0.15">
      <c r="A22" s="9" t="s">
        <v>20</v>
      </c>
      <c r="B22" s="8"/>
      <c r="C22" s="8" t="str">
        <f ca="1">IFERROR(__xludf.DUMMYFUNCTION("""COMPUTED_VALUE"""),"VERY LARGE gap between itself and its previous gene. Needs an indepth look")</f>
        <v>VERY LARGE gap between itself and its previous gene. Needs an indepth look</v>
      </c>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IFERROR(__xludf.DUMMYFUNCTION("IMPORTRANGE(""https://docs.google.com/spreadsheets/d/1rjebY3ldoEXrRbLWoPXCIhvF_kMyOvJr_yst6T3o1Qk"", ""S47!B1:B22"")"),"Zachary Edwards")</f>
        <v>Zachary Edwards</v>
      </c>
      <c r="C1" s="11" t="str">
        <f ca="1">IFERROR(__xludf.DUMMYFUNCTION("IMPORTRANGE(""https://docs.google.com/spreadsheets/d/1WNEoccD374LriG_Vfas93mZuqp-YxPt_JlqNi2GnBVU"", ""S47!B1:B22"")"),"Tyler Thibodeaux ")</f>
        <v xml:space="preserve">Tyler Thibodeaux </v>
      </c>
      <c r="D1" s="2" t="s">
        <v>0</v>
      </c>
    </row>
    <row r="2" spans="1:4" ht="15.75" customHeight="1" x14ac:dyDescent="0.15">
      <c r="A2" s="3" t="s">
        <v>1</v>
      </c>
      <c r="B2" s="4" t="str">
        <f ca="1">IFERROR(__xludf.DUMMYFUNCTION("""COMPUTED_VALUE"""),"DNAM Start:31882 - Stop:32139 
PHAM Start:31882 - Stop:32139 
FOR")</f>
        <v>DNAM Start:31882 - Stop:32139 
PHAM Start:31882 - Stop:32139 
FOR</v>
      </c>
      <c r="C2" s="4" t="str">
        <f ca="1">IFERROR(__xludf.DUMMYFUNCTION("""COMPUTED_VALUE"""),"32323 to 32859 (Forward)")</f>
        <v>32323 to 32859 (Forward)</v>
      </c>
      <c r="D2" s="4"/>
    </row>
    <row r="3" spans="1:4" ht="15.75" customHeight="1" x14ac:dyDescent="0.15">
      <c r="A3" s="5" t="s">
        <v>2</v>
      </c>
      <c r="B3" s="6" t="str">
        <f ca="1">IFERROR(__xludf.DUMMYFUNCTION("""COMPUTED_VALUE"""),"DNAM:45
PHAM:47")</f>
        <v>DNAM:45
PHAM:47</v>
      </c>
      <c r="C3" s="6" t="str">
        <f ca="1">IFERROR(__xludf.DUMMYFUNCTION("""COMPUTED_VALUE"""),"47 in DNAm and 49 in Pham ")</f>
        <v xml:space="preserve">47 in DNAm and 49 in Pham </v>
      </c>
      <c r="D3" s="6"/>
    </row>
    <row r="4" spans="1:4" ht="15.75" customHeight="1" x14ac:dyDescent="0.15">
      <c r="A4" s="5" t="s">
        <v>3</v>
      </c>
      <c r="B4" s="6" t="str">
        <f ca="1">IFERROR(__xludf.DUMMYFUNCTION("""COMPUTED_VALUE"""),"87798 3/31/25")</f>
        <v>87798 3/31/25</v>
      </c>
      <c r="C4" s="6" t="str">
        <f ca="1">IFERROR(__xludf.DUMMYFUNCTION("""COMPUTED_VALUE"""),"pham 88527, 4-11-25")</f>
        <v>pham 88527, 4-11-25</v>
      </c>
      <c r="D4" s="6"/>
    </row>
    <row r="5" spans="1:4" ht="15.75" customHeight="1" x14ac:dyDescent="0.15">
      <c r="A5" s="5" t="s">
        <v>4</v>
      </c>
      <c r="B5" s="6" t="str">
        <f ca="1">IFERROR(__xludf.DUMMYFUNCTION("""COMPUTED_VALUE"""),"Nandita_46
")</f>
        <v xml:space="preserve">Nandita_46
</v>
      </c>
      <c r="C5" s="6" t="str">
        <f ca="1">IFERROR(__xludf.DUMMYFUNCTION("""COMPUTED_VALUE"""),"Nandita_48")</f>
        <v>Nandita_48</v>
      </c>
      <c r="D5" s="6"/>
    </row>
    <row r="6" spans="1:4" ht="15.75" customHeight="1" x14ac:dyDescent="0.15">
      <c r="A6" s="5" t="s">
        <v>5</v>
      </c>
      <c r="B6" s="6" t="str">
        <f ca="1">IFERROR(__xludf.DUMMYFUNCTION("""COMPUTED_VALUE"""),"Both agree on start")</f>
        <v>Both agree on start</v>
      </c>
      <c r="C6" s="6" t="str">
        <f ca="1">IFERROR(__xludf.DUMMYFUNCTION("""COMPUTED_VALUE"""),"Original Glimmer call @bp 32323, Both call for this ")</f>
        <v xml:space="preserve">Original Glimmer call @bp 32323, Both call for this </v>
      </c>
      <c r="D6" s="6"/>
    </row>
    <row r="7" spans="1:4" ht="15.75" customHeight="1" x14ac:dyDescent="0.15">
      <c r="A7" s="5" t="s">
        <v>6</v>
      </c>
      <c r="B7" s="6" t="str">
        <f ca="1">IFERROR(__xludf.DUMMYFUNCTION("""COMPUTED_VALUE"""),"Yes")</f>
        <v>Yes</v>
      </c>
      <c r="C7" s="6" t="str">
        <f ca="1">IFERROR(__xludf.DUMMYFUNCTION("""COMPUTED_VALUE"""),"It has pretty decent coding potential ")</f>
        <v xml:space="preserve">It has pretty decent coding potential </v>
      </c>
      <c r="D7" s="6"/>
    </row>
    <row r="8" spans="1:4" ht="15.75" customHeight="1" x14ac:dyDescent="0.15">
      <c r="A8" s="5" t="s">
        <v>7</v>
      </c>
      <c r="B8" s="6" t="str">
        <f ca="1">IFERROR(__xludf.DUMMYFUNCTION("""COMPUTED_VALUE"""),"Yes")</f>
        <v>Yes</v>
      </c>
      <c r="C8" s="6" t="str">
        <f ca="1">IFERROR(__xludf.DUMMYFUNCTION("""COMPUTED_VALUE"""),"It is not the longest ORF")</f>
        <v>It is not the longest ORF</v>
      </c>
      <c r="D8" s="6"/>
    </row>
    <row r="9" spans="1:4" ht="15.75" customHeight="1" x14ac:dyDescent="0.15">
      <c r="A9" s="5" t="s">
        <v>8</v>
      </c>
      <c r="B9" s="6" t="str">
        <f ca="1">IFERROR(__xludf.DUMMYFUNCTION("""COMPUTED_VALUE"""),"3 NT Overlap")</f>
        <v>3 NT Overlap</v>
      </c>
      <c r="C9" s="6" t="str">
        <f ca="1">IFERROR(__xludf.DUMMYFUNCTION("""COMPUTED_VALUE"""),"7 Overlap")</f>
        <v>7 Overlap</v>
      </c>
      <c r="D9" s="6"/>
    </row>
    <row r="10" spans="1:4" ht="15.75" customHeight="1" x14ac:dyDescent="0.15">
      <c r="A10" s="5" t="s">
        <v>9</v>
      </c>
      <c r="B10" s="6" t="str">
        <f ca="1">IFERROR(__xludf.DUMMYFUNCTION("""COMPUTED_VALUE"""),"Current 2.180 (31882) Best")</f>
        <v>Current 2.180 (31882) Best</v>
      </c>
      <c r="C10" s="6" t="str">
        <f ca="1">IFERROR(__xludf.DUMMYFUNCTION("""COMPUTED_VALUE"""),"Z score: 3.089. It is the best one ")</f>
        <v xml:space="preserve">Z score: 3.089. It is the best one </v>
      </c>
      <c r="D10" s="6"/>
    </row>
    <row r="11" spans="1:4" ht="15.75" customHeight="1" x14ac:dyDescent="0.15">
      <c r="A11" s="5" t="s">
        <v>10</v>
      </c>
      <c r="B11" s="6" t="str">
        <f ca="1">IFERROR(__xludf.DUMMYFUNCTION("""COMPUTED_VALUE"""),"Nandita_46
%ID: 98.82%
E:2e-55
1:1")</f>
        <v>Nandita_46
%ID: 98.82%
E:2e-55
1:1</v>
      </c>
      <c r="C11" s="6" t="str">
        <f ca="1">IFERROR(__xludf.DUMMYFUNCTION("""COMPUTED_VALUE"""),"hypothetical protein, Nandita, e= 3e-117, %Identity: 94.94%, q1:s1")</f>
        <v>hypothetical protein, Nandita, e= 3e-117, %Identity: 94.94%, q1:s1</v>
      </c>
      <c r="D11" s="6"/>
    </row>
    <row r="12" spans="1:4" ht="15.75" customHeight="1" x14ac:dyDescent="0.15">
      <c r="A12" s="5" t="s">
        <v>11</v>
      </c>
      <c r="B12" s="6" t="str">
        <f ca="1">IFERROR(__xludf.DUMMYFUNCTION("""COMPUTED_VALUE"""),"16 of 22 cal current start (most of FF)")</f>
        <v>16 of 22 cal current start (most of FF)</v>
      </c>
      <c r="C12" s="6" t="str">
        <f ca="1">IFERROR(__xludf.DUMMYFUNCTION("""COMPUTED_VALUE"""),"It is conseverd in all members and called a 100% of the time ")</f>
        <v xml:space="preserve">It is conseverd in all members and called a 100% of the time </v>
      </c>
      <c r="D12" s="6"/>
    </row>
    <row r="13" spans="1:4" ht="15.75" customHeight="1" x14ac:dyDescent="0.15">
      <c r="A13" s="5" t="s">
        <v>12</v>
      </c>
      <c r="B13" s="6" t="str">
        <f ca="1">IFERROR(__xludf.DUMMYFUNCTION("""COMPUTED_VALUE"""),"No reason to")</f>
        <v>No reason to</v>
      </c>
      <c r="C13" s="6" t="str">
        <f ca="1">IFERROR(__xludf.DUMMYFUNCTION("""COMPUTED_VALUE"""),"No")</f>
        <v>No</v>
      </c>
      <c r="D13" s="6"/>
    </row>
    <row r="14" spans="1:4" ht="15.75" customHeight="1" x14ac:dyDescent="0.15">
      <c r="A14" s="5" t="s">
        <v>13</v>
      </c>
      <c r="B14" s="6" t="str">
        <f ca="1">IFERROR(__xludf.DUMMYFUNCTION("""COMPUTED_VALUE"""),"Nandita_46
E: 2e-44")</f>
        <v>Nandita_46
E: 2e-44</v>
      </c>
      <c r="C14" s="6" t="str">
        <f ca="1">IFERROR(__xludf.DUMMYFUNCTION("""COMPUTED_VALUE"""),"Nandita_48, function unknown, e= 3e^-92")</f>
        <v>Nandita_48, function unknown, e= 3e^-92</v>
      </c>
      <c r="D14" s="6"/>
    </row>
    <row r="15" spans="1:4" ht="15.75" customHeight="1" x14ac:dyDescent="0.15">
      <c r="A15" s="5" t="s">
        <v>14</v>
      </c>
      <c r="B15" s="6" t="str">
        <f ca="1">IFERROR(__xludf.DUMMYFUNCTION("""COMPUTED_VALUE"""),"Unknown Function")</f>
        <v>Unknown Function</v>
      </c>
      <c r="C15" s="6" t="str">
        <f ca="1">IFERROR(__xludf.DUMMYFUNCTION("""COMPUTED_VALUE"""),"Nandita_48, function unknown")</f>
        <v>Nandita_48, function unknown</v>
      </c>
      <c r="D15" s="6"/>
    </row>
    <row r="16" spans="1:4" ht="15.75" customHeight="1" x14ac:dyDescent="0.15">
      <c r="A16" s="5" t="s">
        <v>15</v>
      </c>
      <c r="B16" s="6" t="str">
        <f ca="1">IFERROR(__xludf.DUMMYFUNCTION("""COMPUTED_VALUE"""),"Same genetic environment as Nandita")</f>
        <v>Same genetic environment as Nandita</v>
      </c>
      <c r="C16" s="6" t="str">
        <f ca="1">IFERROR(__xludf.DUMMYFUNCTION("""COMPUTED_VALUE"""),"It is in the same genetic enviornment as Nandita ")</f>
        <v xml:space="preserve">It is in the same genetic enviornment as Nandita </v>
      </c>
      <c r="D16" s="6"/>
    </row>
    <row r="17" spans="1:4" ht="15.75" customHeight="1" x14ac:dyDescent="0.15">
      <c r="A17" s="5" t="s">
        <v>16</v>
      </c>
      <c r="B17" s="6" t="str">
        <f ca="1">IFERROR(__xludf.DUMMYFUNCTION("""COMPUTED_VALUE"""),"Nothing of reasonable compatibility")</f>
        <v>Nothing of reasonable compatibility</v>
      </c>
      <c r="C17" s="6" t="str">
        <f ca="1">IFERROR(__xludf.DUMMYFUNCTION("""COMPUTED_VALUE"""),"VG55_BPMD2 Gene 55 protein OS=Mycobacterium, %prob: 70.06%, %Q= 48%, %T=48%")</f>
        <v>VG55_BPMD2 Gene 55 protein OS=Mycobacterium, %prob: 70.06%, %Q= 48%, %T=48%</v>
      </c>
      <c r="D17" s="6"/>
    </row>
    <row r="18" spans="1:4" ht="15.75" customHeight="1" x14ac:dyDescent="0.15">
      <c r="A18" s="5" t="s">
        <v>17</v>
      </c>
      <c r="B18" s="6" t="str">
        <f ca="1">IFERROR(__xludf.DUMMYFUNCTION("""COMPUTED_VALUE"""),"DUF")</f>
        <v>DUF</v>
      </c>
      <c r="C18" s="6" t="str">
        <f ca="1">IFERROR(__xludf.DUMMYFUNCTION("""COMPUTED_VALUE"""),"None")</f>
        <v>None</v>
      </c>
      <c r="D18" s="6"/>
    </row>
    <row r="19" spans="1:4" ht="15.75" customHeight="1" x14ac:dyDescent="0.15">
      <c r="A19" s="5" t="s">
        <v>18</v>
      </c>
      <c r="B19" s="6" t="str">
        <f ca="1">IFERROR(__xludf.DUMMYFUNCTION("""COMPUTED_VALUE"""),"N/A")</f>
        <v>N/A</v>
      </c>
      <c r="C19" s="6" t="str">
        <f ca="1">IFERROR(__xludf.DUMMYFUNCTION("""COMPUTED_VALUE"""),"None ")</f>
        <v xml:space="preserve">None </v>
      </c>
      <c r="D19" s="6"/>
    </row>
    <row r="20" spans="1:4" ht="15.75" customHeight="1" x14ac:dyDescent="0.15">
      <c r="A20" s="5" t="s">
        <v>19</v>
      </c>
      <c r="B20" s="6" t="str">
        <f ca="1">IFERROR(__xludf.DUMMYFUNCTION("""COMPUTED_VALUE"""),"Hypothetical Protein")</f>
        <v>Hypothetical Protein</v>
      </c>
      <c r="C20" s="6" t="str">
        <f ca="1">IFERROR(__xludf.DUMMYFUNCTION("""COMPUTED_VALUE"""),"Hypothetical Protein, This is due to the NCBI blast, Syteny with Nandita, HHPred, and PhagesDB.")</f>
        <v>Hypothetical Protein, This is due to the NCBI blast, Syteny with Nandita, HHPred, and PhagesDB.</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IFERROR(__xludf.DUMMYFUNCTION("IMPORTRANGE(""https://docs.google.com/spreadsheets/d/1lnhM27PotbG3sLgv1l-Z-v-YjCyKJ0DlymQrusc2STA"", ""S48!B1:B22"")"),"Layla Baldwin")</f>
        <v>Layla Baldwin</v>
      </c>
      <c r="C1" s="11" t="str">
        <f ca="1">IFERROR(__xludf.DUMMYFUNCTION("IMPORTRANGE(""https://docs.google.com/spreadsheets/d/1NBZgc2wQWlGwpwt7AcCySCDz0bod7B0VKf0lrtlBP8Q"", ""S48!B1:B22"")"),"Jackson Root")</f>
        <v>Jackson Root</v>
      </c>
      <c r="D1" s="2" t="s">
        <v>0</v>
      </c>
    </row>
    <row r="2" spans="1:4" ht="15.75" customHeight="1" x14ac:dyDescent="0.15">
      <c r="A2" s="3" t="s">
        <v>1</v>
      </c>
      <c r="B2" s="4" t="str">
        <f ca="1">IFERROR(__xludf.DUMMYFUNCTION("""COMPUTED_VALUE"""),"32136 to 32330 (Forward)")</f>
        <v>32136 to 32330 (Forward)</v>
      </c>
      <c r="C2" s="4" t="str">
        <f ca="1">IFERROR(__xludf.DUMMYFUNCTION("""COMPUTED_VALUE"""),"Start: 32136    Stop: 32330   Forward")</f>
        <v>Start: 32136    Stop: 32330   Forward</v>
      </c>
      <c r="D2" s="4"/>
    </row>
    <row r="3" spans="1:4" ht="15.75" customHeight="1" x14ac:dyDescent="0.15">
      <c r="A3" s="5" t="s">
        <v>2</v>
      </c>
      <c r="B3" s="6" t="str">
        <f ca="1">IFERROR(__xludf.DUMMYFUNCTION("""COMPUTED_VALUE"""),"48 in Pham and PDB, 46 in DNAM")</f>
        <v>48 in Pham and PDB, 46 in DNAM</v>
      </c>
      <c r="C3" s="6" t="str">
        <f ca="1">IFERROR(__xludf.DUMMYFUNCTION("""COMPUTED_VALUE"""),"Pham: 48   DNA: 46")</f>
        <v>Pham: 48   DNA: 46</v>
      </c>
      <c r="D3" s="6"/>
    </row>
    <row r="4" spans="1:4" ht="15.75" customHeight="1" x14ac:dyDescent="0.15">
      <c r="A4" s="5" t="s">
        <v>3</v>
      </c>
      <c r="B4" s="6" t="str">
        <f ca="1">IFERROR(__xludf.DUMMYFUNCTION("""COMPUTED_VALUE"""),"28030, 4/7/25")</f>
        <v>28030, 4/7/25</v>
      </c>
      <c r="C4" s="6" t="str">
        <f ca="1">IFERROR(__xludf.DUMMYFUNCTION("""COMPUTED_VALUE""")," pham 28030  04/16/25")</f>
        <v xml:space="preserve"> pham 28030  04/16/25</v>
      </c>
      <c r="D4" s="6"/>
    </row>
    <row r="5" spans="1:4" ht="15.75" customHeight="1" x14ac:dyDescent="0.15">
      <c r="A5" s="5" t="s">
        <v>4</v>
      </c>
      <c r="B5" s="6" t="str">
        <f ca="1">IFERROR(__xludf.DUMMYFUNCTION("""COMPUTED_VALUE"""),"Cole_43, Ball_35")</f>
        <v>Cole_43, Ball_35</v>
      </c>
      <c r="C5" s="6" t="str">
        <f ca="1">IFERROR(__xludf.DUMMYFUNCTION("""COMPUTED_VALUE"""),"Nandita_47; Zaheer_47")</f>
        <v>Nandita_47; Zaheer_47</v>
      </c>
      <c r="D5" s="6"/>
    </row>
    <row r="6" spans="1:4" ht="15.75" customHeight="1" x14ac:dyDescent="0.15">
      <c r="A6" s="5" t="s">
        <v>5</v>
      </c>
      <c r="B6" s="6" t="str">
        <f ca="1">IFERROR(__xludf.DUMMYFUNCTION("""COMPUTED_VALUE"""),"Both call")</f>
        <v>Both call</v>
      </c>
      <c r="C6" s="6" t="str">
        <f ca="1">IFERROR(__xludf.DUMMYFUNCTION("""COMPUTED_VALUE"""),"Both call 32136")</f>
        <v>Both call 32136</v>
      </c>
      <c r="D6" s="6"/>
    </row>
    <row r="7" spans="1:4" ht="15.75" customHeight="1" x14ac:dyDescent="0.15">
      <c r="A7" s="5" t="s">
        <v>6</v>
      </c>
      <c r="B7" s="6" t="str">
        <f ca="1">IFERROR(__xludf.DUMMYFUNCTION("""COMPUTED_VALUE"""),"Decent coding potential, start captures potential")</f>
        <v>Decent coding potential, start captures potential</v>
      </c>
      <c r="C7" s="6" t="str">
        <f ca="1">IFERROR(__xludf.DUMMYFUNCTION("""COMPUTED_VALUE"""),"there is coding potential, all potential captured")</f>
        <v>there is coding potential, all potential captured</v>
      </c>
      <c r="D7" s="6"/>
    </row>
    <row r="8" spans="1:4" ht="15.75" customHeight="1" x14ac:dyDescent="0.15">
      <c r="A8" s="5" t="s">
        <v>7</v>
      </c>
      <c r="B8" s="6" t="str">
        <f ca="1">IFERROR(__xludf.DUMMYFUNCTION("""COMPUTED_VALUE"""),"No, one previous start")</f>
        <v>No, one previous start</v>
      </c>
      <c r="C8" s="6" t="str">
        <f ca="1">IFERROR(__xludf.DUMMYFUNCTION("""COMPUTED_VALUE"""),"Not the longest orf, theres a start further up")</f>
        <v>Not the longest orf, theres a start further up</v>
      </c>
      <c r="D8" s="6"/>
    </row>
    <row r="9" spans="1:4" ht="15.75" customHeight="1" x14ac:dyDescent="0.15">
      <c r="A9" s="5" t="s">
        <v>8</v>
      </c>
      <c r="B9" s="6" t="str">
        <f ca="1">IFERROR(__xludf.DUMMYFUNCTION("""COMPUTED_VALUE"""),"3 bp overlap")</f>
        <v>3 bp overlap</v>
      </c>
      <c r="C9" s="6" t="str">
        <f ca="1">IFERROR(__xludf.DUMMYFUNCTION("""COMPUTED_VALUE"""),"3 bp overlap with previous")</f>
        <v>3 bp overlap with previous</v>
      </c>
      <c r="D9" s="6"/>
    </row>
    <row r="10" spans="1:4" ht="15.75" customHeight="1" x14ac:dyDescent="0.15">
      <c r="A10" s="5" t="s">
        <v>9</v>
      </c>
      <c r="B10" s="6" t="str">
        <f ca="1">IFERROR(__xludf.DUMMYFUNCTION("""COMPUTED_VALUE"""),"Z = 2.953, final = -2.664. For first start Z = 1.266, final = -6.977")</f>
        <v>Z = 2.953, final = -2.664. For first start Z = 1.266, final = -6.977</v>
      </c>
      <c r="C10" s="6" t="str">
        <f ca="1">IFERROR(__xludf.DUMMYFUNCTION("""COMPUTED_VALUE"""),"This is the best RBS score Z: 2.953")</f>
        <v>This is the best RBS score Z: 2.953</v>
      </c>
      <c r="D10" s="6"/>
    </row>
    <row r="11" spans="1:4" ht="15.75" customHeight="1" x14ac:dyDescent="0.15">
      <c r="A11" s="5" t="s">
        <v>10</v>
      </c>
      <c r="B11" s="6" t="str">
        <f ca="1">IFERROR(__xludf.DUMMYFUNCTION("""COMPUTED_VALUE"""),"Cole_43, identity = 98.44, e = 2e-36. Zaheer, identity = 98.44, e = 2e-36. q1:s1 for both")</f>
        <v>Cole_43, identity = 98.44, e = 2e-36. Zaheer, identity = 98.44, e = 2e-36. q1:s1 for both</v>
      </c>
      <c r="C11" s="6" t="str">
        <f ca="1">IFERROR(__xludf.DUMMYFUNCTION("""COMPUTED_VALUE"""),"Best hit was Zaheer; E-val: 3.7E-17; Q: 1-64; T: 1-64")</f>
        <v>Best hit was Zaheer; E-val: 3.7E-17; Q: 1-64; T: 1-64</v>
      </c>
      <c r="D11" s="6"/>
    </row>
    <row r="12" spans="1:4" ht="15.75" customHeight="1" x14ac:dyDescent="0.15">
      <c r="A12" s="5" t="s">
        <v>11</v>
      </c>
      <c r="B12" s="6" t="str">
        <f ca="1">IFERROR(__xludf.DUMMYFUNCTION("""COMPUTED_VALUE"""),"Found in all members, called 95.2% of the time")</f>
        <v>Found in all members, called 95.2% of the time</v>
      </c>
      <c r="C12" s="6" t="str">
        <f ca="1">IFERROR(__xludf.DUMMYFUNCTION("""COMPUTED_VALUE"""),"Start is conserved, caled 95.2% when present")</f>
        <v>Start is conserved, caled 95.2% when present</v>
      </c>
      <c r="D12" s="6"/>
    </row>
    <row r="13" spans="1:4" ht="15.75" customHeight="1" x14ac:dyDescent="0.15">
      <c r="A13" s="5" t="s">
        <v>12</v>
      </c>
      <c r="B13" s="6" t="str">
        <f ca="1">IFERROR(__xludf.DUMMYFUNCTION("""COMPUTED_VALUE"""),"No, no reason too")</f>
        <v>No, no reason too</v>
      </c>
      <c r="C13" s="6" t="str">
        <f ca="1">IFERROR(__xludf.DUMMYFUNCTION("""COMPUTED_VALUE"""),"no start change")</f>
        <v>no start change</v>
      </c>
      <c r="D13" s="6"/>
    </row>
    <row r="14" spans="1:4" ht="15.75" customHeight="1" x14ac:dyDescent="0.15">
      <c r="A14" s="5" t="s">
        <v>13</v>
      </c>
      <c r="B14" s="6" t="str">
        <f ca="1">IFERROR(__xludf.DUMMYFUNCTION("""COMPUTED_VALUE"""),"Lenoxika_ 47, e = 5e-30. GoodLuckBabe_46, e = 5e-30")</f>
        <v>Lenoxika_ 47, e = 5e-30. GoodLuckBabe_46, e = 5e-30</v>
      </c>
      <c r="C14" s="6" t="str">
        <f ca="1">IFERROR(__xludf.DUMMYFUNCTION("""COMPUTED_VALUE"""),"Zaheer_47: 1e-29   (note: there was two other hits but they were drafts, both with 5e-30)")</f>
        <v>Zaheer_47: 1e-29   (note: there was two other hits but they were drafts, both with 5e-30)</v>
      </c>
      <c r="D14" s="6"/>
    </row>
    <row r="15" spans="1:4" ht="15.75" customHeight="1" x14ac:dyDescent="0.15">
      <c r="A15" s="5" t="s">
        <v>14</v>
      </c>
      <c r="B15" s="6" t="str">
        <f ca="1">IFERROR(__xludf.DUMMYFUNCTION("""COMPUTED_VALUE"""),"Unknown function")</f>
        <v>Unknown function</v>
      </c>
      <c r="C15" s="6" t="str">
        <f ca="1">IFERROR(__xludf.DUMMYFUNCTION("""COMPUTED_VALUE"""),"Zaheer: function unknown")</f>
        <v>Zaheer: function unknown</v>
      </c>
      <c r="D15" s="6"/>
    </row>
    <row r="16" spans="1:4" ht="15.75" customHeight="1" x14ac:dyDescent="0.15">
      <c r="A16" s="5" t="s">
        <v>15</v>
      </c>
      <c r="B16" s="6" t="str">
        <f ca="1">IFERROR(__xludf.DUMMYFUNCTION("""COMPUTED_VALUE"""),"Yes")</f>
        <v>Yes</v>
      </c>
      <c r="C16" s="6" t="str">
        <f ca="1">IFERROR(__xludf.DUMMYFUNCTION("""COMPUTED_VALUE"""),"found in the same genetic environment as Nandita_47")</f>
        <v>found in the same genetic environment as Nandita_47</v>
      </c>
      <c r="D16" s="6"/>
    </row>
    <row r="17" spans="1:4" ht="15.75" customHeight="1" x14ac:dyDescent="0.15">
      <c r="A17" s="5" t="s">
        <v>16</v>
      </c>
      <c r="B17" s="6" t="str">
        <f ca="1">IFERROR(__xludf.DUMMYFUNCTION("""COMPUTED_VALUE"""),"7Q21_A Cytochrome bc1 complex Rieske iron-sulfur subunit; MEMBRANE PROTEIN, CRYO-EM, RESPIRATORY SUPERCOMPLEX, ACTINOBACTERIA, ELECTRON TRANSPORT; HET: CDL, 7PH, PLM, HEM, MQ9, 9YF, TRD, HAS, TWT, HEC, 9XX; 2.9A {Corynebacterium glutamicum ATCC 13032}, pr"&amp;"obaility = 72.54, aoq = 84.4, aot = 13.2, no functional domain")</f>
        <v>7Q21_A Cytochrome bc1 complex Rieske iron-sulfur subunit; MEMBRANE PROTEIN, CRYO-EM, RESPIRATORY SUPERCOMPLEX, ACTINOBACTERIA, ELECTRON TRANSPORT; HET: CDL, 7PH, PLM, HEM, MQ9, 9YF, TRD, HAS, TWT, HEC, 9XX; 2.9A {Corynebacterium glutamicum ATCC 13032}, probaility = 72.54, aoq = 84.4, aot = 13.2, no functional domain</v>
      </c>
      <c r="C17" s="6" t="str">
        <f ca="1">IFERROR(__xludf.DUMMYFUNCTION("""COMPUTED_VALUE"""),"Lots of DUFs(domain of unknown function); Prob: 90.07%; %Q: 64.9%; %T: 48.7%, function not part of target alignment")</f>
        <v>Lots of DUFs(domain of unknown function); Prob: 90.07%; %Q: 64.9%; %T: 48.7%, function not part of target alignment</v>
      </c>
      <c r="D17" s="6"/>
    </row>
    <row r="18" spans="1:4" ht="15.75" customHeight="1" x14ac:dyDescent="0.15">
      <c r="A18" s="5" t="s">
        <v>17</v>
      </c>
      <c r="B18" s="6" t="str">
        <f ca="1">IFERROR(__xludf.DUMMYFUNCTION("""COMPUTED_VALUE"""),"No")</f>
        <v>No</v>
      </c>
      <c r="C18" s="6" t="str">
        <f ca="1">IFERROR(__xludf.DUMMYFUNCTION("""COMPUTED_VALUE"""),"no conserved domains")</f>
        <v>no conserved domains</v>
      </c>
      <c r="D18" s="6"/>
    </row>
    <row r="19" spans="1:4" ht="15.75" customHeight="1" x14ac:dyDescent="0.15">
      <c r="A19" s="5" t="s">
        <v>18</v>
      </c>
      <c r="B19" s="6" t="str">
        <f ca="1">IFERROR(__xludf.DUMMYFUNCTION("""COMPUTED_VALUE"""),"Yes. Transmembrane domain")</f>
        <v>Yes. Transmembrane domain</v>
      </c>
      <c r="C19" s="6" t="str">
        <f ca="1">IFERROR(__xludf.DUMMYFUNCTION("""COMPUTED_VALUE"""),"is a membrane protien")</f>
        <v>is a membrane protien</v>
      </c>
      <c r="D19" s="6"/>
    </row>
    <row r="20" spans="1:4" ht="15.75" customHeight="1" x14ac:dyDescent="0.15">
      <c r="A20" s="5" t="s">
        <v>19</v>
      </c>
      <c r="B20" s="6" t="str">
        <f ca="1">IFERROR(__xludf.DUMMYFUNCTION("""COMPUTED_VALUE"""),"Membrane protein, supported by Pham and others")</f>
        <v>Membrane protein, supported by Pham and others</v>
      </c>
      <c r="C20" s="6" t="str">
        <f ca="1">IFERROR(__xludf.DUMMYFUNCTION("""COMPUTED_VALUE"""),"hypothetical protien because the best hits all had unknown functions")</f>
        <v>hypothetical protien because the best hits all had unknown functions</v>
      </c>
      <c r="D20" s="6"/>
    </row>
    <row r="21" spans="1:4" x14ac:dyDescent="0.2">
      <c r="A21" s="7"/>
      <c r="B21" s="8"/>
      <c r="C21" s="8"/>
      <c r="D21" s="8"/>
    </row>
    <row r="22" spans="1:4" ht="15.75" customHeight="1" x14ac:dyDescent="0.15">
      <c r="A22" s="9" t="s">
        <v>20</v>
      </c>
      <c r="B22" s="8" t="str">
        <f ca="1">IFERROR(__xludf.DUMMYFUNCTION("""COMPUTED_VALUE"""),"Hypothetical protein or holin possibly")</f>
        <v>Hypothetical protein or holin possibly</v>
      </c>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0" t="str">
        <f ca="1">IFERROR(__xludf.DUMMYFUNCTION("IMPORTRANGE(""https://docs.google.com/spreadsheets/d/1K_SrfyQXDNcl5UVETvGMAvEDUHr5HCmSgfuNiyo2M-k"", ""S49!B1:B22"")"),"Korie Hall")</f>
        <v>Korie Hall</v>
      </c>
      <c r="C1" s="11" t="str">
        <f ca="1">IFERROR(__xludf.DUMMYFUNCTION("IMPORTRANGE(""https://docs.google.com/spreadsheets/d/1u6ZP_AyBJKGOZ-m1erEe8ylMC_0IEsUBTvQJRRPiF5g"", ""S49!B1:B22"")"),"Erin Loudermilk")</f>
        <v>Erin Loudermilk</v>
      </c>
      <c r="D1" s="2" t="s">
        <v>0</v>
      </c>
    </row>
    <row r="2" spans="1:4" ht="15.75" customHeight="1" x14ac:dyDescent="0.15">
      <c r="A2" s="3" t="s">
        <v>1</v>
      </c>
      <c r="B2" s="4" t="str">
        <f ca="1">IFERROR(__xludf.DUMMYFUNCTION("""COMPUTED_VALUE"""),"Start: 32323 / Stop: 32859")</f>
        <v>Start: 32323 / Stop: 32859</v>
      </c>
      <c r="C2" s="4" t="str">
        <f ca="1">IFERROR(__xludf.DUMMYFUNCTION("""COMPUTED_VALUE"""),"32323 - 32859 FOR")</f>
        <v>32323 - 32859 FOR</v>
      </c>
      <c r="D2" s="4"/>
    </row>
    <row r="3" spans="1:4" ht="15.75" customHeight="1" x14ac:dyDescent="0.15">
      <c r="A3" s="5" t="s">
        <v>2</v>
      </c>
      <c r="B3" s="6" t="str">
        <f ca="1">IFERROR(__xludf.DUMMYFUNCTION("""COMPUTED_VALUE"""),"DNA Master: Gene 47 / Phamerator: Gene 49")</f>
        <v>DNA Master: Gene 47 / Phamerator: Gene 49</v>
      </c>
      <c r="C3" s="6" t="str">
        <f ca="1">IFERROR(__xludf.DUMMYFUNCTION("""COMPUTED_VALUE"""),"DNA: 47, Pham: 49")</f>
        <v>DNA: 47, Pham: 49</v>
      </c>
      <c r="D3" s="6"/>
    </row>
    <row r="4" spans="1:4" ht="15.75" customHeight="1" x14ac:dyDescent="0.15">
      <c r="A4" s="5" t="s">
        <v>3</v>
      </c>
      <c r="B4" s="6">
        <f ca="1">IFERROR(__xludf.DUMMYFUNCTION("""COMPUTED_VALUE"""),88527)</f>
        <v>88527</v>
      </c>
      <c r="C4" s="6" t="str">
        <f ca="1">IFERROR(__xludf.DUMMYFUNCTION("""COMPUTED_VALUE"""),"Pham 88527 (4/11/25)")</f>
        <v>Pham 88527 (4/11/25)</v>
      </c>
      <c r="D4" s="6"/>
    </row>
    <row r="5" spans="1:4" ht="15.75" customHeight="1" x14ac:dyDescent="0.15">
      <c r="A5" s="5" t="s">
        <v>4</v>
      </c>
      <c r="B5" s="6" t="str">
        <f ca="1">IFERROR(__xludf.DUMMYFUNCTION("""COMPUTED_VALUE"""),"Nandita_48")</f>
        <v>Nandita_48</v>
      </c>
      <c r="C5" s="6" t="str">
        <f ca="1">IFERROR(__xludf.DUMMYFUNCTION("""COMPUTED_VALUE"""),"Nandita_46")</f>
        <v>Nandita_46</v>
      </c>
      <c r="D5" s="6"/>
    </row>
    <row r="6" spans="1:4" ht="15.75" customHeight="1" x14ac:dyDescent="0.15">
      <c r="A6" s="5" t="s">
        <v>5</v>
      </c>
      <c r="B6" s="6" t="str">
        <f ca="1">IFERROR(__xludf.DUMMYFUNCTION("""COMPUTED_VALUE"""),"Glimmer and GeneMark call @32323")</f>
        <v>Glimmer and GeneMark call @32323</v>
      </c>
      <c r="C6" s="6" t="str">
        <f ca="1">IFERROR(__xludf.DUMMYFUNCTION("""COMPUTED_VALUE"""),"Both call start")</f>
        <v>Both call start</v>
      </c>
      <c r="D6" s="6"/>
    </row>
    <row r="7" spans="1:4" ht="15.75" customHeight="1" x14ac:dyDescent="0.15">
      <c r="A7" s="5" t="s">
        <v>6</v>
      </c>
      <c r="B7" s="6" t="str">
        <f ca="1">IFERROR(__xludf.DUMMYFUNCTION("""COMPUTED_VALUE"""),"Start being called catches all coding potential ")</f>
        <v xml:space="preserve">Start being called catches all coding potential </v>
      </c>
      <c r="C7" s="6" t="str">
        <f ca="1">IFERROR(__xludf.DUMMYFUNCTION("""COMPUTED_VALUE"""),"Gene has good coding potential, including start")</f>
        <v>Gene has good coding potential, including start</v>
      </c>
      <c r="D7" s="6"/>
    </row>
    <row r="8" spans="1:4" ht="15.75" customHeight="1" x14ac:dyDescent="0.15">
      <c r="A8" s="5" t="s">
        <v>7</v>
      </c>
      <c r="B8" s="6" t="str">
        <f ca="1">IFERROR(__xludf.DUMMYFUNCTION("""COMPUTED_VALUE"""),"One other possible ORF, but the Z-score and Final score aren't the best")</f>
        <v>One other possible ORF, but the Z-score and Final score aren't the best</v>
      </c>
      <c r="C8" s="6" t="str">
        <f ca="1">IFERROR(__xludf.DUMMYFUNCTION("""COMPUTED_VALUE"""),"Yes")</f>
        <v>Yes</v>
      </c>
      <c r="D8" s="6"/>
    </row>
    <row r="9" spans="1:4" ht="15.75" customHeight="1" x14ac:dyDescent="0.15">
      <c r="A9" s="5" t="s">
        <v>8</v>
      </c>
      <c r="B9" s="6" t="str">
        <f ca="1">IFERROR(__xludf.DUMMYFUNCTION("""COMPUTED_VALUE"""),"7 bp overlap with Gene 48")</f>
        <v>7 bp overlap with Gene 48</v>
      </c>
      <c r="C9" s="6" t="str">
        <f ca="1">IFERROR(__xludf.DUMMYFUNCTION("""COMPUTED_VALUE"""),"7 overlap")</f>
        <v>7 overlap</v>
      </c>
      <c r="D9" s="6"/>
    </row>
    <row r="10" spans="1:4" ht="15.75" customHeight="1" x14ac:dyDescent="0.15">
      <c r="A10" s="5" t="s">
        <v>9</v>
      </c>
      <c r="B10" s="6" t="str">
        <f ca="1">IFERROR(__xludf.DUMMYFUNCTION("""COMPUTED_VALUE"""),"Z-score: 3.089 / Final score: -2.315")</f>
        <v>Z-score: 3.089 / Final score: -2.315</v>
      </c>
      <c r="C10" s="6" t="str">
        <f ca="1">IFERROR(__xludf.DUMMYFUNCTION("""COMPUTED_VALUE"""),"3.071, best score")</f>
        <v>3.071, best score</v>
      </c>
      <c r="D10" s="6"/>
    </row>
    <row r="11" spans="1:4" ht="15.75" customHeight="1" x14ac:dyDescent="0.15">
      <c r="A11" s="5" t="s">
        <v>10</v>
      </c>
      <c r="B11" s="6" t="str">
        <f ca="1">IFERROR(__xludf.DUMMYFUNCTION("""COMPUTED_VALUE"""),"Cole_44 - % identity: 97.8% / e-value: 7e-122 / q1:s1    Nandita_48 - % identity: 95% / e-value: 3e-117 / q1:s1")</f>
        <v>Cole_44 - % identity: 97.8% / e-value: 7e-122 / q1:s1    Nandita_48 - % identity: 95% / e-value: 3e-117 / q1:s1</v>
      </c>
      <c r="C11" s="6" t="str">
        <f ca="1">IFERROR(__xludf.DUMMYFUNCTION("""COMPUTED_VALUE"""),"SEA_COLE_44, 97.7528% identity, 6.48738e-122 e-value, q:178, s:178")</f>
        <v>SEA_COLE_44, 97.7528% identity, 6.48738e-122 e-value, q:178, s:178</v>
      </c>
      <c r="D11" s="6"/>
    </row>
    <row r="12" spans="1:4" ht="15.75" customHeight="1" x14ac:dyDescent="0.15">
      <c r="A12" s="5" t="s">
        <v>11</v>
      </c>
      <c r="B12" s="6" t="str">
        <f ca="1">IFERROR(__xludf.DUMMYFUNCTION("""COMPUTED_VALUE"""),"Found in 15 of 15 members in the pham / Conserved 100% of the time ")</f>
        <v xml:space="preserve">Found in 15 of 15 members in the pham / Conserved 100% of the time </v>
      </c>
      <c r="C12" s="6" t="str">
        <f ca="1">IFERROR(__xludf.DUMMYFUNCTION("""COMPUTED_VALUE"""),"Conserved in all members of pham, called 100% of the time")</f>
        <v>Conserved in all members of pham, called 100% of the time</v>
      </c>
      <c r="D12" s="6"/>
    </row>
    <row r="13" spans="1:4" ht="15.75" customHeight="1" x14ac:dyDescent="0.15">
      <c r="A13" s="5" t="s">
        <v>12</v>
      </c>
      <c r="B13" s="6" t="str">
        <f ca="1">IFERROR(__xludf.DUMMYFUNCTION("""COMPUTED_VALUE"""),"Start should not be changed. Moving the start back would create a larger overlap between Gene 48 and there would be a gap of no coding potential. ")</f>
        <v xml:space="preserve">Start should not be changed. Moving the start back would create a larger overlap between Gene 48 and there would be a gap of no coding potential. </v>
      </c>
      <c r="C13" s="6" t="str">
        <f ca="1">IFERROR(__xludf.DUMMYFUNCTION("""COMPUTED_VALUE"""),"No")</f>
        <v>No</v>
      </c>
      <c r="D13" s="6"/>
    </row>
    <row r="14" spans="1:4" ht="15.75" customHeight="1" x14ac:dyDescent="0.15">
      <c r="A14" s="5" t="s">
        <v>13</v>
      </c>
      <c r="B14" s="6" t="str">
        <f ca="1">IFERROR(__xludf.DUMMYFUNCTION("""COMPUTED_VALUE"""),"Cole_44 - e-value: 2e-95 / Nandita_48 - e-value: 3e-92")</f>
        <v>Cole_44 - e-value: 2e-95 / Nandita_48 - e-value: 3e-92</v>
      </c>
      <c r="C14" s="6" t="str">
        <f ca="1">IFERROR(__xludf.DUMMYFUNCTION("""COMPUTED_VALUE"""),"Cole_44, 2e-95 e-value")</f>
        <v>Cole_44, 2e-95 e-value</v>
      </c>
      <c r="D14" s="6"/>
    </row>
    <row r="15" spans="1:4" ht="15.75" customHeight="1" x14ac:dyDescent="0.15">
      <c r="A15" s="5" t="s">
        <v>14</v>
      </c>
      <c r="B15" s="6" t="str">
        <f ca="1">IFERROR(__xludf.DUMMYFUNCTION("""COMPUTED_VALUE"""),"Hypothetical Protein")</f>
        <v>Hypothetical Protein</v>
      </c>
      <c r="C15" s="6" t="str">
        <f ca="1">IFERROR(__xludf.DUMMYFUNCTION("""COMPUTED_VALUE"""),"function unknown")</f>
        <v>function unknown</v>
      </c>
      <c r="D15" s="6"/>
    </row>
    <row r="16" spans="1:4" ht="15.75" customHeight="1" x14ac:dyDescent="0.15">
      <c r="A16" s="5" t="s">
        <v>15</v>
      </c>
      <c r="B16" s="6" t="str">
        <f ca="1">IFERROR(__xludf.DUMMYFUNCTION("""COMPUTED_VALUE"""),"Function is to be as expected / adjacent to Nandita_48 ")</f>
        <v xml:space="preserve">Function is to be as expected / adjacent to Nandita_48 </v>
      </c>
      <c r="C16" s="6" t="str">
        <f ca="1">IFERROR(__xludf.DUMMYFUNCTION("""COMPUTED_VALUE"""),"Found in similar environment in Nandia")</f>
        <v>Found in similar environment in Nandia</v>
      </c>
      <c r="D16" s="6"/>
    </row>
    <row r="17" spans="1:4" ht="15.75" customHeight="1" x14ac:dyDescent="0.15">
      <c r="A17" s="5" t="s">
        <v>16</v>
      </c>
      <c r="B17" s="6" t="str">
        <f ca="1">IFERROR(__xludf.DUMMYFUNCTION("""COMPUTED_VALUE"""),"There were no reliable hits to provide further solid evidence about the gene.")</f>
        <v>There were no reliable hits to provide further solid evidence about the gene.</v>
      </c>
      <c r="C17" s="6" t="str">
        <f ca="1">IFERROR(__xludf.DUMMYFUNCTION("""COMPUTED_VALUE"""),"PF13780.11:DUF4176 ; Domain of unknown function (DUF4176), 16.9% probability, 7.69% target, 91.24% query. functional domain not in target")</f>
        <v>PF13780.11:DUF4176 ; Domain of unknown function (DUF4176), 16.9% probability, 7.69% target, 91.24% query. functional domain not in target</v>
      </c>
      <c r="D17" s="6"/>
    </row>
    <row r="18" spans="1:4" ht="15.75" customHeight="1" x14ac:dyDescent="0.15">
      <c r="A18" s="5" t="s">
        <v>17</v>
      </c>
      <c r="B18" s="6" t="str">
        <f ca="1">IFERROR(__xludf.DUMMYFUNCTION("""COMPUTED_VALUE"""),"No conserved domain identified")</f>
        <v>No conserved domain identified</v>
      </c>
      <c r="C18" s="6" t="str">
        <f ca="1">IFERROR(__xludf.DUMMYFUNCTION("""COMPUTED_VALUE"""),"None")</f>
        <v>None</v>
      </c>
      <c r="D18" s="6"/>
    </row>
    <row r="19" spans="1:4" ht="15.75" customHeight="1" x14ac:dyDescent="0.15">
      <c r="A19" s="5" t="s">
        <v>18</v>
      </c>
      <c r="B19" s="6" t="str">
        <f ca="1">IFERROR(__xludf.DUMMYFUNCTION("""COMPUTED_VALUE"""),"No membrane protein identified")</f>
        <v>No membrane protein identified</v>
      </c>
      <c r="C19" s="6" t="str">
        <f ca="1">IFERROR(__xludf.DUMMYFUNCTION("""COMPUTED_VALUE"""),"None")</f>
        <v>None</v>
      </c>
      <c r="D19" s="6"/>
    </row>
    <row r="20" spans="1:4" ht="15.75" customHeight="1" x14ac:dyDescent="0.15">
      <c r="A20" s="5" t="s">
        <v>19</v>
      </c>
      <c r="B20" s="6" t="str">
        <f ca="1">IFERROR(__xludf.DUMMYFUNCTION("""COMPUTED_VALUE"""),"Hypothetical Protein ( Rationale: There is not enough reliable information to provide a concrete function for the gene. Given the rest of the members in the pham are a hypothetical protein, it can be concluded for now that Gene 49 is also a hypothetical p"&amp;"rotein. )")</f>
        <v>Hypothetical Protein ( Rationale: There is not enough reliable information to provide a concrete function for the gene. Given the rest of the members in the pham are a hypothetical protein, it can be concluded for now that Gene 49 is also a hypothetical protein. )</v>
      </c>
      <c r="C20" s="6" t="str">
        <f ca="1">IFERROR(__xludf.DUMMYFUNCTION("""COMPUTED_VALUE"""),"Hypothetical protein")</f>
        <v>Hypothetical protein</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IFERROR(__xludf.DUMMYFUNCTION("IMPORTRANGE(""https://docs.google.com/spreadsheets/d/1mDoveT5ogJcal0bN308rf9jioMYsAcKe21Otdt4nuTk"", ""S50!B1:B22"")"),"Put Your Name Here")</f>
        <v>Put Your Name Here</v>
      </c>
      <c r="C1" s="11" t="str">
        <f ca="1">IFERROR(__xludf.DUMMYFUNCTION("IMPORTRANGE(""https://docs.google.com/spreadsheets/d/1WNEoccD374LriG_Vfas93mZuqp-YxPt_JlqNi2GnBVU"", ""S50!B1:B22"")"),"Tyler Thibodeaux ")</f>
        <v xml:space="preserve">Tyler Thibodeaux </v>
      </c>
      <c r="D1" s="2" t="s">
        <v>0</v>
      </c>
    </row>
    <row r="2" spans="1:4" ht="15.75" customHeight="1" x14ac:dyDescent="0.15">
      <c r="A2" s="3" t="s">
        <v>1</v>
      </c>
      <c r="B2" s="4" t="str">
        <f ca="1">IFERROR(__xludf.DUMMYFUNCTION("""COMPUTED_VALUE"""),"32856 - 34229 FOW")</f>
        <v>32856 - 34229 FOW</v>
      </c>
      <c r="C2" s="4" t="str">
        <f ca="1">IFERROR(__xludf.DUMMYFUNCTION("""COMPUTED_VALUE"""),"34715 to 35089 (Forward)")</f>
        <v>34715 to 35089 (Forward)</v>
      </c>
      <c r="D2" s="4"/>
    </row>
    <row r="3" spans="1:4" ht="15.75" customHeight="1" x14ac:dyDescent="0.15">
      <c r="A3" s="5" t="s">
        <v>2</v>
      </c>
      <c r="B3" s="6" t="str">
        <f ca="1">IFERROR(__xludf.DUMMYFUNCTION("""COMPUTED_VALUE"""),"DNA master_48 
Phamerator_50 ")</f>
        <v xml:space="preserve">DNA master_48 
Phamerator_50 </v>
      </c>
      <c r="C3" s="6" t="str">
        <f ca="1">IFERROR(__xludf.DUMMYFUNCTION("""COMPUTED_VALUE"""),"50 in DNAm and 52 in Pham ")</f>
        <v xml:space="preserve">50 in DNAm and 52 in Pham </v>
      </c>
      <c r="D3" s="6"/>
    </row>
    <row r="4" spans="1:4" ht="15.75" customHeight="1" x14ac:dyDescent="0.15">
      <c r="A4" s="5" t="s">
        <v>3</v>
      </c>
      <c r="B4" s="6" t="str">
        <f ca="1">IFERROR(__xludf.DUMMYFUNCTION("""COMPUTED_VALUE"""),"28013 5/9/25")</f>
        <v>28013 5/9/25</v>
      </c>
      <c r="C4" s="6" t="str">
        <f ca="1">IFERROR(__xludf.DUMMYFUNCTION("""COMPUTED_VALUE"""),"pham 226598, 4-11-25")</f>
        <v>pham 226598, 4-11-25</v>
      </c>
      <c r="D4" s="6"/>
    </row>
    <row r="5" spans="1:4" ht="15.75" customHeight="1" x14ac:dyDescent="0.15">
      <c r="A5" s="5" t="s">
        <v>4</v>
      </c>
      <c r="B5" s="6"/>
      <c r="C5" s="6" t="str">
        <f ca="1">IFERROR(__xludf.DUMMYFUNCTION("""COMPUTED_VALUE"""),"Mufasa8_70")</f>
        <v>Mufasa8_70</v>
      </c>
      <c r="D5" s="6"/>
    </row>
    <row r="6" spans="1:4" ht="15.75" customHeight="1" x14ac:dyDescent="0.15">
      <c r="A6" s="5" t="s">
        <v>5</v>
      </c>
      <c r="B6" s="6" t="str">
        <f ca="1">IFERROR(__xludf.DUMMYFUNCTION("""COMPUTED_VALUE"""),"Both call @bp 32856 strength 10.75")</f>
        <v>Both call @bp 32856 strength 10.75</v>
      </c>
      <c r="C6" s="6" t="str">
        <f ca="1">IFERROR(__xludf.DUMMYFUNCTION("""COMPUTED_VALUE"""),"Original Glimmer call @bp 34715 both called for this ")</f>
        <v xml:space="preserve">Original Glimmer call @bp 34715 both called for this </v>
      </c>
      <c r="D6" s="6"/>
    </row>
    <row r="7" spans="1:4" ht="15.75" customHeight="1" x14ac:dyDescent="0.15">
      <c r="A7" s="5" t="s">
        <v>6</v>
      </c>
      <c r="B7" s="6" t="str">
        <f ca="1">IFERROR(__xludf.DUMMYFUNCTION("""COMPUTED_VALUE"""),"yes, coding potential drops towards the end. All coding potential included in current start ")</f>
        <v xml:space="preserve">yes, coding potential drops towards the end. All coding potential included in current start </v>
      </c>
      <c r="C7" s="6" t="str">
        <f ca="1">IFERROR(__xludf.DUMMYFUNCTION("""COMPUTED_VALUE"""),"Relatively good coding potential ")</f>
        <v xml:space="preserve">Relatively good coding potential </v>
      </c>
      <c r="D7" s="6"/>
    </row>
    <row r="8" spans="1:4" ht="15.75" customHeight="1" x14ac:dyDescent="0.15">
      <c r="A8" s="5" t="s">
        <v>7</v>
      </c>
      <c r="B8" s="6" t="str">
        <f ca="1">IFERROR(__xludf.DUMMYFUNCTION("""COMPUTED_VALUE"""),"yes ")</f>
        <v xml:space="preserve">yes </v>
      </c>
      <c r="C8" s="6" t="str">
        <f ca="1">IFERROR(__xludf.DUMMYFUNCTION("""COMPUTED_VALUE"""),"Not the longest possible ORF")</f>
        <v>Not the longest possible ORF</v>
      </c>
      <c r="D8" s="6"/>
    </row>
    <row r="9" spans="1:4" ht="15.75" customHeight="1" x14ac:dyDescent="0.15">
      <c r="A9" s="5" t="s">
        <v>8</v>
      </c>
      <c r="B9" s="6" t="str">
        <f ca="1">IFERROR(__xludf.DUMMYFUNCTION("""COMPUTED_VALUE"""),"3 nt overlap ")</f>
        <v xml:space="preserve">3 nt overlap </v>
      </c>
      <c r="C9" s="6" t="str">
        <f ca="1">IFERROR(__xludf.DUMMYFUNCTION("""COMPUTED_VALUE"""),"100 Gap")</f>
        <v>100 Gap</v>
      </c>
      <c r="D9" s="6"/>
    </row>
    <row r="10" spans="1:4" ht="15.75" customHeight="1" x14ac:dyDescent="0.15">
      <c r="A10" s="5" t="s">
        <v>9</v>
      </c>
      <c r="B10" s="6" t="str">
        <f ca="1">IFERROR(__xludf.DUMMYFUNCTION("""COMPUTED_VALUE"""),"current start has best Zscore (2.389)")</f>
        <v>current start has best Zscore (2.389)</v>
      </c>
      <c r="C10" s="6" t="str">
        <f ca="1">IFERROR(__xludf.DUMMYFUNCTION("""COMPUTED_VALUE"""),"Z score: 1.6, not the best. Previous start with 2.2 Zscore. ")</f>
        <v xml:space="preserve">Z score: 1.6, not the best. Previous start with 2.2 Zscore. </v>
      </c>
      <c r="D10" s="6"/>
    </row>
    <row r="11" spans="1:4" ht="15.75" customHeight="1" x14ac:dyDescent="0.15">
      <c r="A11" s="5" t="s">
        <v>10</v>
      </c>
      <c r="B11" s="6" t="str">
        <f ca="1">IFERROR(__xludf.DUMMYFUNCTION("""COMPUTED_VALUE"""),"Nandita_50; 82.3% identity; 0 ")</f>
        <v xml:space="preserve">Nandita_50; 82.3% identity; 0 </v>
      </c>
      <c r="C11" s="6" t="str">
        <f ca="1">IFERROR(__xludf.DUMMYFUNCTION("""COMPUTED_VALUE"""),"MULTISPECIES: helix-turn-helix domain-containing protein [Micrococcaceae], %Identity: 47%, e= e^-23, q8:s2")</f>
        <v>MULTISPECIES: helix-turn-helix domain-containing protein [Micrococcaceae], %Identity: 47%, e= e^-23, q8:s2</v>
      </c>
      <c r="D11" s="6"/>
    </row>
    <row r="12" spans="1:4" ht="15.75" customHeight="1" x14ac:dyDescent="0.15">
      <c r="A12" s="5" t="s">
        <v>11</v>
      </c>
      <c r="B12" s="6" t="str">
        <f ca="1">IFERROR(__xludf.DUMMYFUNCTION("""COMPUTED_VALUE"""),"yes start 2 called 9 out of 9 times")</f>
        <v>yes start 2 called 9 out of 9 times</v>
      </c>
      <c r="C12" s="6" t="str">
        <f ca="1">IFERROR(__xludf.DUMMYFUNCTION("""COMPUTED_VALUE"""),"It is conserved in 22% of the members and is called a 100% of the time ")</f>
        <v xml:space="preserve">It is conserved in 22% of the members and is called a 100% of the time </v>
      </c>
      <c r="D12" s="6"/>
    </row>
    <row r="13" spans="1:4" ht="15.75" customHeight="1" x14ac:dyDescent="0.15">
      <c r="A13" s="5" t="s">
        <v>12</v>
      </c>
      <c r="B13" s="6" t="str">
        <f ca="1">IFERROR(__xludf.DUMMYFUNCTION("""COMPUTED_VALUE"""),"no, there is no evidence to support chaning the start")</f>
        <v>no, there is no evidence to support chaning the start</v>
      </c>
      <c r="C13" s="6" t="str">
        <f ca="1">IFERROR(__xludf.DUMMYFUNCTION("""COMPUTED_VALUE"""),"Yes, it would allow for a lower gap, and the zscore would be more fesible and better. ")</f>
        <v xml:space="preserve">Yes, it would allow for a lower gap, and the zscore would be more fesible and better. </v>
      </c>
      <c r="D13" s="6"/>
    </row>
    <row r="14" spans="1:4" ht="15.75" customHeight="1" x14ac:dyDescent="0.15">
      <c r="A14" s="5" t="s">
        <v>13</v>
      </c>
      <c r="B14" s="6" t="str">
        <f ca="1">IFERROR(__xludf.DUMMYFUNCTION("""COMPUTED_VALUE"""),"Halloweekend_Draft_43; 0.0
Nandita_50; 0.0")</f>
        <v>Halloweekend_Draft_43; 0.0
Nandita_50; 0.0</v>
      </c>
      <c r="C14" s="6" t="str">
        <f ca="1">IFERROR(__xludf.DUMMYFUNCTION("""COMPUTED_VALUE"""),"Mufasa8_70, helix-turn-helix DNA binding domain protein, e= 6e^-14")</f>
        <v>Mufasa8_70, helix-turn-helix DNA binding domain protein, e= 6e^-14</v>
      </c>
      <c r="D14" s="6"/>
    </row>
    <row r="15" spans="1:4" ht="15.75" customHeight="1" x14ac:dyDescent="0.15">
      <c r="A15" s="5" t="s">
        <v>14</v>
      </c>
      <c r="B15" s="6" t="str">
        <f ca="1">IFERROR(__xludf.DUMMYFUNCTION("""COMPUTED_VALUE"""),"function unknown 
ParB-like DNA binding protein")</f>
        <v>function unknown 
ParB-like DNA binding protein</v>
      </c>
      <c r="C15" s="6" t="str">
        <f ca="1">IFERROR(__xludf.DUMMYFUNCTION("""COMPUTED_VALUE"""),"helix-turn-helix DNA binding domain protein")</f>
        <v>helix-turn-helix DNA binding domain protein</v>
      </c>
      <c r="D15" s="6"/>
    </row>
    <row r="16" spans="1:4" ht="15.75" customHeight="1" x14ac:dyDescent="0.15">
      <c r="A16" s="5" t="s">
        <v>15</v>
      </c>
      <c r="B16" s="6" t="str">
        <f ca="1">IFERROR(__xludf.DUMMYFUNCTION("""COMPUTED_VALUE"""),"found in similar genetic environments")</f>
        <v>found in similar genetic environments</v>
      </c>
      <c r="C16" s="6" t="str">
        <f ca="1">IFERROR(__xludf.DUMMYFUNCTION("""COMPUTED_VALUE"""),"It is found in the same relative genetic enviorment as Nandita ")</f>
        <v xml:space="preserve">It is found in the same relative genetic enviorment as Nandita </v>
      </c>
      <c r="D16" s="6"/>
    </row>
    <row r="17" spans="1:4" ht="15.75" customHeight="1" x14ac:dyDescent="0.15">
      <c r="A17" s="5" t="s">
        <v>16</v>
      </c>
      <c r="B17" s="6" t="str">
        <f ca="1">IFERROR(__xludf.DUMMYFUNCTION("""COMPUTED_VALUE"""),"Uncharacterized protein ORF326b OS=Acidianus two-tailed virus OX=315953 PE=3 SV=1
Probability: 99.83%
% alignment Q: 35.4%
% alignment T: 49.7%
ParB family protein; DNA-binding protein, CTP, Myxococcus, DNA-segregation, DNA BINDING PROTEIN; HET: GOL, UFQ"&amp;"; 1.7A {Myxococcus xanthus (strain DK 1622)}
Probability: 99.83%
% alignment Q: 39.6%
% alignment T: 85.4%")</f>
        <v>Uncharacterized protein ORF326b OS=Acidianus two-tailed virus OX=315953 PE=3 SV=1
Probability: 99.83%
% alignment Q: 35.4%
% alignment T: 49.7%
ParB family protein; DNA-binding protein, CTP, Myxococcus, DNA-segregation, DNA BINDING PROTEIN; HET: GOL, UFQ; 1.7A {Myxococcus xanthus (strain DK 1622)}
Probability: 99.83%
% alignment Q: 39.6%
% alignment T: 85.4%</v>
      </c>
      <c r="C17" s="6" t="str">
        <f ca="1">IFERROR(__xludf.DUMMYFUNCTION("""COMPUTED_VALUE"""),"Putative uncharacterized protein; DNA BINDING PROTEIN, %prob: 99.25%, %Q=10%, %T=3%, the functional domain is in the target allignment. ")</f>
        <v xml:space="preserve">Putative uncharacterized protein; DNA BINDING PROTEIN, %prob: 99.25%, %Q=10%, %T=3%, the functional domain is in the target allignment. </v>
      </c>
      <c r="D17" s="6"/>
    </row>
    <row r="18" spans="1:4" ht="15.75" customHeight="1" x14ac:dyDescent="0.15">
      <c r="A18" s="5" t="s">
        <v>17</v>
      </c>
      <c r="B18" s="6" t="str">
        <f ca="1">IFERROR(__xludf.DUMMYFUNCTION("""COMPUTED_VALUE"""),"Spo0J-Stage 0 sporulation protein J (antagonist of Soj) containing ParB-like nuclease domain [Transcription].
ParBc-ParB-like nuclease domain.")</f>
        <v>Spo0J-Stage 0 sporulation protein J (antagonist of Soj) containing ParB-like nuclease domain [Transcription].
ParBc-ParB-like nuclease domain.</v>
      </c>
      <c r="C18" s="6" t="str">
        <f ca="1">IFERROR(__xludf.DUMMYFUNCTION("""COMPUTED_VALUE"""),"HTH_7, Helix-turn-helix domain of resolvase.
")</f>
        <v xml:space="preserve">HTH_7, Helix-turn-helix domain of resolvase.
</v>
      </c>
      <c r="D18" s="6"/>
    </row>
    <row r="19" spans="1:4" ht="15.75" customHeight="1" x14ac:dyDescent="0.15">
      <c r="A19" s="5" t="s">
        <v>18</v>
      </c>
      <c r="B19" s="6" t="str">
        <f ca="1">IFERROR(__xludf.DUMMYFUNCTION("""COMPUTED_VALUE"""),"no")</f>
        <v>no</v>
      </c>
      <c r="C19" s="6" t="str">
        <f ca="1">IFERROR(__xludf.DUMMYFUNCTION("""COMPUTED_VALUE"""),"None ")</f>
        <v xml:space="preserve">None </v>
      </c>
      <c r="D19" s="6"/>
    </row>
    <row r="20" spans="1:4" ht="15.75" customHeight="1" x14ac:dyDescent="0.15">
      <c r="A20" s="5" t="s">
        <v>19</v>
      </c>
      <c r="B20" s="6" t="str">
        <f ca="1">IFERROR(__xludf.DUMMYFUNCTION("""COMPUTED_VALUE"""),"DNA binding protein, similar to Nandita, suport from HHpred. ")</f>
        <v xml:space="preserve">DNA binding protein, similar to Nandita, suport from HHpred. </v>
      </c>
      <c r="C20" s="6" t="str">
        <f ca="1">IFERROR(__xludf.DUMMYFUNCTION("""COMPUTED_VALUE"""),"DNA binding protein, This is due to the HHPred, NCBI blast, phagesdb blast, and the conserved domains. ")</f>
        <v xml:space="preserve">DNA binding protein, This is due to the HHPred, NCBI blast, phagesdb blast, and the conserved domains. </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IFERROR(__xludf.DUMMYFUNCTION("IMPORTRANGE(""https://docs.google.com/spreadsheets/d/1JcP72URjln8m_02QQGZH43HhxTMRpkReW-wbnKU8b-0"", ""S51!B1:B22"")"),"Josiah Bolton")</f>
        <v>Josiah Bolton</v>
      </c>
      <c r="C1" s="10" t="str">
        <f ca="1">IFERROR(__xludf.DUMMYFUNCTION("IMPORTRANGE(""https://docs.google.com/spreadsheets/d/1K_SrfyQXDNcl5UVETvGMAvEDUHr5HCmSgfuNiyo2M-k"", ""S51!B1:B22"")"),"Korie Hall")</f>
        <v>Korie Hall</v>
      </c>
      <c r="D1" s="2" t="s">
        <v>0</v>
      </c>
    </row>
    <row r="2" spans="1:4" ht="15.75" customHeight="1" x14ac:dyDescent="0.15">
      <c r="A2" s="3" t="s">
        <v>1</v>
      </c>
      <c r="B2" s="4" t="str">
        <f ca="1">IFERROR(__xludf.DUMMYFUNCTION("""COMPUTED_VALUE"""),"34222 - 34632 FOR")</f>
        <v>34222 - 34632 FOR</v>
      </c>
      <c r="C2" s="4" t="str">
        <f ca="1">IFERROR(__xludf.DUMMYFUNCTION("""COMPUTED_VALUE"""),"Start: 34222 / Stop: 34632")</f>
        <v>Start: 34222 / Stop: 34632</v>
      </c>
      <c r="D2" s="4"/>
    </row>
    <row r="3" spans="1:4" ht="15.75" customHeight="1" x14ac:dyDescent="0.15">
      <c r="A3" s="5" t="s">
        <v>2</v>
      </c>
      <c r="B3" s="6" t="str">
        <f ca="1">IFERROR(__xludf.DUMMYFUNCTION("""COMPUTED_VALUE"""),"49 in DNA Master
51 on Phamerator map")</f>
        <v>49 in DNA Master
51 on Phamerator map</v>
      </c>
      <c r="C3" s="6" t="str">
        <f ca="1">IFERROR(__xludf.DUMMYFUNCTION("""COMPUTED_VALUE"""),"DNA Master: Gene 49 / Phamerator: Gene 51")</f>
        <v>DNA Master: Gene 49 / Phamerator: Gene 51</v>
      </c>
      <c r="D3" s="6"/>
    </row>
    <row r="4" spans="1:4" ht="15.75" customHeight="1" x14ac:dyDescent="0.15">
      <c r="A4" s="5" t="s">
        <v>3</v>
      </c>
      <c r="B4" s="6" t="str">
        <f ca="1">IFERROR(__xludf.DUMMYFUNCTION("""COMPUTED_VALUE"""),"207221 4/15/2025")</f>
        <v>207221 4/15/2025</v>
      </c>
      <c r="C4" s="6">
        <f ca="1">IFERROR(__xludf.DUMMYFUNCTION("""COMPUTED_VALUE"""),207221)</f>
        <v>207221</v>
      </c>
      <c r="D4" s="6"/>
    </row>
    <row r="5" spans="1:4" ht="15.75" customHeight="1" x14ac:dyDescent="0.15">
      <c r="A5" s="5" t="s">
        <v>4</v>
      </c>
      <c r="B5" s="6" t="str">
        <f ca="1">IFERROR(__xludf.DUMMYFUNCTION("""COMPUTED_VALUE"""),"Nandita 51")</f>
        <v>Nandita 51</v>
      </c>
      <c r="C5" s="6" t="str">
        <f ca="1">IFERROR(__xludf.DUMMYFUNCTION("""COMPUTED_VALUE"""),"Nandita_51")</f>
        <v>Nandita_51</v>
      </c>
      <c r="D5" s="6"/>
    </row>
    <row r="6" spans="1:4" ht="15.75" customHeight="1" x14ac:dyDescent="0.15">
      <c r="A6" s="5" t="s">
        <v>5</v>
      </c>
      <c r="B6" s="6" t="str">
        <f ca="1">IFERROR(__xludf.DUMMYFUNCTION("""COMPUTED_VALUE"""),"Both programs call this gene.")</f>
        <v>Both programs call this gene.</v>
      </c>
      <c r="C6" s="6" t="str">
        <f ca="1">IFERROR(__xludf.DUMMYFUNCTION("""COMPUTED_VALUE"""),"Glimmer and GeneMark call @34222")</f>
        <v>Glimmer and GeneMark call @34222</v>
      </c>
      <c r="D6" s="6"/>
    </row>
    <row r="7" spans="1:4" ht="15.75" customHeight="1" x14ac:dyDescent="0.15">
      <c r="A7" s="5" t="s">
        <v>6</v>
      </c>
      <c r="B7" s="6" t="str">
        <f ca="1">IFERROR(__xludf.DUMMYFUNCTION("""COMPUTED_VALUE"""),"There is coding potential and call is captured.")</f>
        <v>There is coding potential and call is captured.</v>
      </c>
      <c r="C7" s="6" t="str">
        <f ca="1">IFERROR(__xludf.DUMMYFUNCTION("""COMPUTED_VALUE"""),"Gene has good coding potential, however there is a gap where no coding potential is present ")</f>
        <v xml:space="preserve">Gene has good coding potential, however there is a gap where no coding potential is present </v>
      </c>
      <c r="D7" s="6"/>
    </row>
    <row r="8" spans="1:4" ht="15.75" customHeight="1" x14ac:dyDescent="0.15">
      <c r="A8" s="5" t="s">
        <v>7</v>
      </c>
      <c r="B8" s="6" t="str">
        <f ca="1">IFERROR(__xludf.DUMMYFUNCTION("""COMPUTED_VALUE"""),"Not the longest ORF because a small start but no coding potential is gathered there.")</f>
        <v>Not the longest ORF because a small start but no coding potential is gathered there.</v>
      </c>
      <c r="C8" s="6" t="str">
        <f ca="1">IFERROR(__xludf.DUMMYFUNCTION("""COMPUTED_VALUE"""),"One other possible start codon.")</f>
        <v>One other possible start codon.</v>
      </c>
      <c r="D8" s="6"/>
    </row>
    <row r="9" spans="1:4" ht="15.75" customHeight="1" x14ac:dyDescent="0.15">
      <c r="A9" s="5" t="s">
        <v>8</v>
      </c>
      <c r="B9" s="6" t="str">
        <f ca="1">IFERROR(__xludf.DUMMYFUNCTION("""COMPUTED_VALUE"""),"7 bp overlap.")</f>
        <v>7 bp overlap.</v>
      </c>
      <c r="C9" s="6" t="str">
        <f ca="1">IFERROR(__xludf.DUMMYFUNCTION("""COMPUTED_VALUE"""),"7 bp overlap with Gene 50")</f>
        <v>7 bp overlap with Gene 50</v>
      </c>
      <c r="D9" s="6"/>
    </row>
    <row r="10" spans="1:4" ht="15.75" customHeight="1" x14ac:dyDescent="0.15">
      <c r="A10" s="5" t="s">
        <v>9</v>
      </c>
      <c r="B10" s="6" t="str">
        <f ca="1">IFERROR(__xludf.DUMMYFUNCTION("""COMPUTED_VALUE"""),"Called start has z-score of 3.089 and a final score of -2.339 and this is the best score.")</f>
        <v>Called start has z-score of 3.089 and a final score of -2.339 and this is the best score.</v>
      </c>
      <c r="C10" s="6" t="str">
        <f ca="1">IFERROR(__xludf.DUMMYFUNCTION("""COMPUTED_VALUE"""),"Z-score: 3.107 / Final score: -2.339
")</f>
        <v xml:space="preserve">Z-score: 3.107 / Final score: -2.339
</v>
      </c>
      <c r="D10" s="6"/>
    </row>
    <row r="11" spans="1:4" ht="15.75" customHeight="1" x14ac:dyDescent="0.15">
      <c r="A11" s="5" t="s">
        <v>10</v>
      </c>
      <c r="B11" s="6" t="str">
        <f ca="1">IFERROR(__xludf.DUMMYFUNCTION("""COMPUTED_VALUE"""),"Nandita 51 with % identity 93.33%, e value is 8.75e-87 q1:s1")</f>
        <v>Nandita 51 with % identity 93.33%, e value is 8.75e-87 q1:s1</v>
      </c>
      <c r="C11" s="6" t="str">
        <f ca="1">IFERROR(__xludf.DUMMYFUNCTION("""COMPUTED_VALUE"""),"Nandita_51 - % identity: 92.65% / e-value: 9e-87 / q1:s1")</f>
        <v>Nandita_51 - % identity: 92.65% / e-value: 9e-87 / q1:s1</v>
      </c>
      <c r="D11" s="6"/>
    </row>
    <row r="12" spans="1:4" ht="15.75" customHeight="1" x14ac:dyDescent="0.15">
      <c r="A12" s="5" t="s">
        <v>11</v>
      </c>
      <c r="B12" s="6" t="str">
        <f ca="1">IFERROR(__xludf.DUMMYFUNCTION("""COMPUTED_VALUE"""),"All members conserve start 7 and is called 100% of time when present")</f>
        <v>All members conserve start 7 and is called 100% of time when present</v>
      </c>
      <c r="C12" s="6" t="str">
        <f ca="1">IFERROR(__xludf.DUMMYFUNCTION("""COMPUTED_VALUE"""),"Found in 19 of 19 members in the pham / Conserved 100% of the time")</f>
        <v>Found in 19 of 19 members in the pham / Conserved 100% of the time</v>
      </c>
      <c r="D12" s="6"/>
    </row>
    <row r="13" spans="1:4" ht="15.75" customHeight="1" x14ac:dyDescent="0.15">
      <c r="A13" s="5" t="s">
        <v>12</v>
      </c>
      <c r="B13" s="6" t="str">
        <f ca="1">IFERROR(__xludf.DUMMYFUNCTION("""COMPUTED_VALUE"""),"No start change because of z-score and starterator.")</f>
        <v>No start change because of z-score and starterator.</v>
      </c>
      <c r="C13" s="6" t="str">
        <f ca="1">IFERROR(__xludf.DUMMYFUNCTION("""COMPUTED_VALUE"""),"Start should remain as is. Moving the start would create a futher gap in the genem")</f>
        <v>Start should remain as is. Moving the start would create a futher gap in the genem</v>
      </c>
      <c r="D13" s="6"/>
    </row>
    <row r="14" spans="1:4" ht="15.75" customHeight="1" x14ac:dyDescent="0.15">
      <c r="A14" s="5" t="s">
        <v>13</v>
      </c>
      <c r="B14" s="6" t="str">
        <f ca="1">IFERROR(__xludf.DUMMYFUNCTION("""COMPUTED_VALUE"""),"Nandita 51 e value is 1e-71")</f>
        <v>Nandita 51 e value is 1e-71</v>
      </c>
      <c r="C14" s="6" t="str">
        <f ca="1">IFERROR(__xludf.DUMMYFUNCTION("""COMPUTED_VALUE"""),"Nandita_51 - e-value: 1e-71")</f>
        <v>Nandita_51 - e-value: 1e-71</v>
      </c>
      <c r="D14" s="6"/>
    </row>
    <row r="15" spans="1:4" ht="15.75" customHeight="1" x14ac:dyDescent="0.15">
      <c r="A15" s="5" t="s">
        <v>14</v>
      </c>
      <c r="B15" s="6" t="str">
        <f ca="1">IFERROR(__xludf.DUMMYFUNCTION("""COMPUTED_VALUE"""),"Nandita 51 is hypothetical protein")</f>
        <v>Nandita 51 is hypothetical protein</v>
      </c>
      <c r="C15" s="6" t="str">
        <f ca="1">IFERROR(__xludf.DUMMYFUNCTION("""COMPUTED_VALUE"""),"Function unknown ")</f>
        <v xml:space="preserve">Function unknown </v>
      </c>
      <c r="D15" s="6"/>
    </row>
    <row r="16" spans="1:4" ht="15.75" customHeight="1" x14ac:dyDescent="0.15">
      <c r="A16" s="5" t="s">
        <v>15</v>
      </c>
      <c r="B16" s="6" t="str">
        <f ca="1">IFERROR(__xludf.DUMMYFUNCTION("""COMPUTED_VALUE"""),"Synteny would be expected as both genes at 51 are adjacent")</f>
        <v>Synteny would be expected as both genes at 51 are adjacent</v>
      </c>
      <c r="C16" s="6" t="str">
        <f ca="1">IFERROR(__xludf.DUMMYFUNCTION("""COMPUTED_VALUE"""),"Function is to be as expected / adjacent to Nandita_51")</f>
        <v>Function is to be as expected / adjacent to Nandita_51</v>
      </c>
      <c r="D16" s="6"/>
    </row>
    <row r="17" spans="1:4" ht="15.75" customHeight="1" x14ac:dyDescent="0.15">
      <c r="A17" s="5" t="s">
        <v>16</v>
      </c>
      <c r="B17" s="6" t="str">
        <f ca="1">IFERROR(__xludf.DUMMYFUNCTION("""COMPUTED_VALUE"""),"UPF0339 protein NMB1088; alpha-beta protein, Structural Genomics, PSI-2, Protein Structure Initiative, Northeast Structural Genomics Consortium, NESG, UNKNOWN FUNCTION; HET: MSE; 2.7A {Neisseria meningitidis MC58} SCOP: d.348.1.1, l.1.1.1 Probability is 8"&amp;"6.92%, Alignment of query is 28.68% and alignment of target is 60.94%. The functional domain is in target part of alignment.")</f>
        <v>UPF0339 protein NMB1088; alpha-beta protein, Structural Genomics, PSI-2, Protein Structure Initiative, Northeast Structural Genomics Consortium, NESG, UNKNOWN FUNCTION; HET: MSE; 2.7A {Neisseria meningitidis MC58} SCOP: d.348.1.1, l.1.1.1 Probability is 86.92%, Alignment of query is 28.68% and alignment of target is 60.94%. The functional domain is in target part of alignment.</v>
      </c>
      <c r="C17" s="6" t="str">
        <f ca="1">IFERROR(__xludf.DUMMYFUNCTION("""COMPUTED_VALUE"""),"There were no reliable hits to provide further solid evidence about the gene.")</f>
        <v>There were no reliable hits to provide further solid evidence about the gene.</v>
      </c>
      <c r="D17" s="6"/>
    </row>
    <row r="18" spans="1:4" ht="15.75" customHeight="1" x14ac:dyDescent="0.15">
      <c r="A18" s="5" t="s">
        <v>17</v>
      </c>
      <c r="B18" s="6" t="str">
        <f ca="1">IFERROR(__xludf.DUMMYFUNCTION("""COMPUTED_VALUE"""),"Unknown.")</f>
        <v>Unknown.</v>
      </c>
      <c r="C18" s="6" t="str">
        <f ca="1">IFERROR(__xludf.DUMMYFUNCTION("""COMPUTED_VALUE"""),"No conserved domain identified")</f>
        <v>No conserved domain identified</v>
      </c>
      <c r="D18" s="6"/>
    </row>
    <row r="19" spans="1:4" ht="15.75" customHeight="1" x14ac:dyDescent="0.15">
      <c r="A19" s="5" t="s">
        <v>18</v>
      </c>
      <c r="B19" s="6" t="str">
        <f ca="1">IFERROR(__xludf.DUMMYFUNCTION("""COMPUTED_VALUE"""),"None.")</f>
        <v>None.</v>
      </c>
      <c r="C19" s="6" t="str">
        <f ca="1">IFERROR(__xludf.DUMMYFUNCTION("""COMPUTED_VALUE"""),"No membrane protein identified")</f>
        <v>No membrane protein identified</v>
      </c>
      <c r="D19" s="6"/>
    </row>
    <row r="20" spans="1:4" ht="15.75" customHeight="1" x14ac:dyDescent="0.15">
      <c r="A20" s="5" t="s">
        <v>19</v>
      </c>
      <c r="B20" s="6" t="str">
        <f ca="1">IFERROR(__xludf.DUMMYFUNCTION("""COMPUTED_VALUE"""),"Hypothetical Protein because of all members having unknown functions. The NCBI Blast matches to unknown/hypothetical proteins.")</f>
        <v>Hypothetical Protein because of all members having unknown functions. The NCBI Blast matches to unknown/hypothetical proteins.</v>
      </c>
      <c r="C20" s="6" t="str">
        <f ca="1">IFERROR(__xludf.DUMMYFUNCTION("""COMPUTED_VALUE"""),"Hypothetical Protein / Function Unknown ( Rationale: There is not enough reliable information to provide a concrete function for the gene. Given the rest of the members in the pham are a unknown function--even with the ones having a identified function th"&amp;"e e-values aren't the best--it can be presumed that for now there is a hypothetical protein. ) ")</f>
        <v xml:space="preserve">Hypothetical Protein / Function Unknown ( Rationale: There is not enough reliable information to provide a concrete function for the gene. Given the rest of the members in the pham are a unknown function--even with the ones having a identified function the e-values aren't the best--it can be presumed that for now there is a hypothetical protein. ) </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IFERROR(__xludf.DUMMYFUNCTION("IMPORTRANGE(""https://docs.google.com/spreadsheets/d/1rjebY3ldoEXrRbLWoPXCIhvF_kMyOvJr_yst6T3o1Qk"", ""S52!B1:B22"")"),"Zachary Edwards")</f>
        <v>Zachary Edwards</v>
      </c>
      <c r="C1" s="11" t="str">
        <f ca="1">IFERROR(__xludf.DUMMYFUNCTION("IMPORTRANGE(""https://docs.google.com/spreadsheets/d/12D2a8_yN9-M20Swe1qSSTzsOdHwl9WpMkqw3nyC2tRc"", ""S52!B1:B22"")"),"Noelle Labadens")</f>
        <v>Noelle Labadens</v>
      </c>
      <c r="D1" s="2" t="s">
        <v>0</v>
      </c>
    </row>
    <row r="2" spans="1:4" ht="15.75" customHeight="1" x14ac:dyDescent="0.15">
      <c r="A2" s="3" t="s">
        <v>1</v>
      </c>
      <c r="B2" s="4" t="str">
        <f ca="1">IFERROR(__xludf.DUMMYFUNCTION("""COMPUTED_VALUE"""),"DNAM Start:34715 - Stop:35089 
PHAM Start:34715 - Stop:35089 
FOR")</f>
        <v>DNAM Start:34715 - Stop:35089 
PHAM Start:34715 - Stop:35089 
FOR</v>
      </c>
      <c r="C2" s="4" t="str">
        <f ca="1">IFERROR(__xludf.DUMMYFUNCTION("""COMPUTED_VALUE"""),"34715-35089 FOR")</f>
        <v>34715-35089 FOR</v>
      </c>
      <c r="D2" s="4"/>
    </row>
    <row r="3" spans="1:4" ht="15.75" customHeight="1" x14ac:dyDescent="0.15">
      <c r="A3" s="5" t="s">
        <v>2</v>
      </c>
      <c r="B3" s="6" t="str">
        <f ca="1">IFERROR(__xludf.DUMMYFUNCTION("""COMPUTED_VALUE"""),"DNAM:50
PHAM:52")</f>
        <v>DNAM:50
PHAM:52</v>
      </c>
      <c r="C3" s="6" t="str">
        <f ca="1">IFERROR(__xludf.DUMMYFUNCTION("""COMPUTED_VALUE"""),"52 Phamerator; DNA Master: 50")</f>
        <v>52 Phamerator; DNA Master: 50</v>
      </c>
      <c r="D3" s="6"/>
    </row>
    <row r="4" spans="1:4" ht="15.75" customHeight="1" x14ac:dyDescent="0.15">
      <c r="A4" s="5" t="s">
        <v>3</v>
      </c>
      <c r="B4" s="6" t="str">
        <f ca="1">IFERROR(__xludf.DUMMYFUNCTION("""COMPUTED_VALUE"""),"224313 3/31/25")</f>
        <v>224313 3/31/25</v>
      </c>
      <c r="C4" s="6" t="str">
        <f ca="1">IFERROR(__xludf.DUMMYFUNCTION("""COMPUTED_VALUE"""),"pham 228169 2/25/25")</f>
        <v>pham 228169 2/25/25</v>
      </c>
      <c r="D4" s="6"/>
    </row>
    <row r="5" spans="1:4" ht="15.75" customHeight="1" x14ac:dyDescent="0.15">
      <c r="A5" s="5" t="s">
        <v>4</v>
      </c>
      <c r="B5" s="6" t="str">
        <f ca="1">IFERROR(__xludf.DUMMYFUNCTION("""COMPUTED_VALUE"""),"AllBusiness_47 (another draft)")</f>
        <v>AllBusiness_47 (another draft)</v>
      </c>
      <c r="C5" s="6" t="str">
        <f ca="1">IFERROR(__xludf.DUMMYFUNCTION("""COMPUTED_VALUE"""),"AbbyDaisy_79, AdaS_72")</f>
        <v>AbbyDaisy_79, AdaS_72</v>
      </c>
      <c r="D5" s="6"/>
    </row>
    <row r="6" spans="1:4" ht="15.75" customHeight="1" x14ac:dyDescent="0.15">
      <c r="A6" s="5" t="s">
        <v>5</v>
      </c>
      <c r="B6" s="6" t="str">
        <f ca="1">IFERROR(__xludf.DUMMYFUNCTION("""COMPUTED_VALUE"""),"Both agree on start")</f>
        <v>Both agree on start</v>
      </c>
      <c r="C6" s="6" t="str">
        <f ca="1">IFERROR(__xludf.DUMMYFUNCTION("""COMPUTED_VALUE"""),"both")</f>
        <v>both</v>
      </c>
      <c r="D6" s="6"/>
    </row>
    <row r="7" spans="1:4" ht="15.75" customHeight="1" x14ac:dyDescent="0.15">
      <c r="A7" s="5" t="s">
        <v>6</v>
      </c>
      <c r="B7" s="6" t="str">
        <f ca="1">IFERROR(__xludf.DUMMYFUNCTION("""COMPUTED_VALUE"""),"No, there is more. Moving to the earlier start would get the rest")</f>
        <v>No, there is more. Moving to the earlier start would get the rest</v>
      </c>
      <c r="C7" s="6" t="str">
        <f ca="1">IFERROR(__xludf.DUMMYFUNCTION("""COMPUTED_VALUE"""),"good coding at first then trails off, covers all gene")</f>
        <v>good coding at first then trails off, covers all gene</v>
      </c>
      <c r="D7" s="6"/>
    </row>
    <row r="8" spans="1:4" ht="15.75" customHeight="1" x14ac:dyDescent="0.15">
      <c r="A8" s="5" t="s">
        <v>7</v>
      </c>
      <c r="B8" s="6" t="str">
        <f ca="1">IFERROR(__xludf.DUMMYFUNCTION("""COMPUTED_VALUE"""),"No, One Earlier start")</f>
        <v>No, One Earlier start</v>
      </c>
      <c r="C8" s="6" t="str">
        <f ca="1">IFERROR(__xludf.DUMMYFUNCTION("""COMPUTED_VALUE"""),"no, one before it at 34682")</f>
        <v>no, one before it at 34682</v>
      </c>
      <c r="D8" s="6"/>
    </row>
    <row r="9" spans="1:4" ht="15.75" customHeight="1" x14ac:dyDescent="0.15">
      <c r="A9" s="5" t="s">
        <v>8</v>
      </c>
      <c r="B9" s="6" t="str">
        <f ca="1">IFERROR(__xludf.DUMMYFUNCTION("""COMPUTED_VALUE"""),"83 NT Gap")</f>
        <v>83 NT Gap</v>
      </c>
      <c r="C9" s="6" t="str">
        <f ca="1">IFERROR(__xludf.DUMMYFUNCTION("""COMPUTED_VALUE"""),"83 nt gap")</f>
        <v>83 nt gap</v>
      </c>
      <c r="D9" s="6"/>
    </row>
    <row r="10" spans="1:4" ht="15.75" customHeight="1" x14ac:dyDescent="0.15">
      <c r="A10" s="5" t="s">
        <v>9</v>
      </c>
      <c r="B10" s="6" t="str">
        <f ca="1">IFERROR(__xludf.DUMMYFUNCTION("""COMPUTED_VALUE"""),"Current 1.628 (34715) Alt: 2.270 (34682) Best")</f>
        <v>Current 1.628 (34715) Alt: 2.270 (34682) Best</v>
      </c>
      <c r="C10" s="6" t="str">
        <f ca="1">IFERROR(__xludf.DUMMYFUNCTION("""COMPUTED_VALUE"""),"z score - 1.616. start 34682 z score - 2.256")</f>
        <v>z score - 1.616. start 34682 z score - 2.256</v>
      </c>
      <c r="D10" s="6"/>
    </row>
    <row r="11" spans="1:4" ht="15.75" customHeight="1" x14ac:dyDescent="0.15">
      <c r="A11" s="5" t="s">
        <v>10</v>
      </c>
      <c r="B11" s="6" t="str">
        <f ca="1">IFERROR(__xludf.DUMMYFUNCTION("""COMPUTED_VALUE"""),"Mufasa8_70 
%ID: 44.35%
E:1e-23
7:6")</f>
        <v>Mufasa8_70 
%ID: 44.35%
E:1e-23
7:6</v>
      </c>
      <c r="C11" s="6" t="str">
        <f ca="1">IFERROR(__xludf.DUMMYFUNCTION("""COMPUTED_VALUE"""),"AllBusiness_47, 98%, 7e-66, q:1, s:1")</f>
        <v>AllBusiness_47, 98%, 7e-66, q:1, s:1</v>
      </c>
      <c r="D11" s="6"/>
    </row>
    <row r="12" spans="1:4" ht="15.75" customHeight="1" x14ac:dyDescent="0.15">
      <c r="A12" s="5" t="s">
        <v>11</v>
      </c>
      <c r="B12" s="6" t="str">
        <f ca="1">IFERROR(__xludf.DUMMYFUNCTION("""COMPUTED_VALUE"""),"3 of 191 call current start, only other is an addtional FF draft")</f>
        <v>3 of 191 call current start, only other is an addtional FF draft</v>
      </c>
      <c r="C12" s="6" t="str">
        <f ca="1">IFERROR(__xludf.DUMMYFUNCTION("""COMPUTED_VALUE"""),"no. called 50% when present. no manual annotations of this start called")</f>
        <v>no. called 50% when present. no manual annotations of this start called</v>
      </c>
      <c r="D12" s="6"/>
    </row>
    <row r="13" spans="1:4" ht="15.75" customHeight="1" x14ac:dyDescent="0.15">
      <c r="A13" s="5" t="s">
        <v>12</v>
      </c>
      <c r="B13" s="6" t="str">
        <f ca="1">IFERROR(__xludf.DUMMYFUNCTION("""COMPUTED_VALUE"""),"Yes, move to start 34682, captures remaining coding potenial and better Z. Although alignment doesn't imporve its not enough to not move it.")</f>
        <v>Yes, move to start 34682, captures remaining coding potenial and better Z. Although alignment doesn't imporve its not enough to not move it.</v>
      </c>
      <c r="C13" s="6" t="str">
        <f ca="1">IFERROR(__xludf.DUMMYFUNCTION("""COMPUTED_VALUE"""),"change to 34682. the start is not very well conserved and its only in non manually annotated genes. this start has a better z score and shortens the gap.")</f>
        <v>change to 34682. the start is not very well conserved and its only in non manually annotated genes. this start has a better z score and shortens the gap.</v>
      </c>
      <c r="D13" s="6"/>
    </row>
    <row r="14" spans="1:4" ht="15.75" customHeight="1" x14ac:dyDescent="0.15">
      <c r="A14" s="5" t="s">
        <v>13</v>
      </c>
      <c r="B14" s="6" t="str">
        <f ca="1">IFERROR(__xludf.DUMMYFUNCTION("""COMPUTED_VALUE"""),"Mufasa8_70 (not same domain)
E:6e-14")</f>
        <v>Mufasa8_70 (not same domain)
E:6e-14</v>
      </c>
      <c r="C14" s="6" t="str">
        <f ca="1">IFERROR(__xludf.DUMMYFUNCTION("""COMPUTED_VALUE"""),"AllBusiness_47, 7e-66 (no other members in pham match blast report and are manually annotated)")</f>
        <v>AllBusiness_47, 7e-66 (no other members in pham match blast report and are manually annotated)</v>
      </c>
      <c r="D14" s="6"/>
    </row>
    <row r="15" spans="1:4" ht="15.75" customHeight="1" x14ac:dyDescent="0.15">
      <c r="A15" s="5" t="s">
        <v>14</v>
      </c>
      <c r="B15" s="6" t="str">
        <f ca="1">IFERROR(__xludf.DUMMYFUNCTION("""COMPUTED_VALUE"""),"helix-turn-helix DNA binding domain protein")</f>
        <v>helix-turn-helix DNA binding domain protein</v>
      </c>
      <c r="C15" s="6" t="str">
        <f ca="1">IFERROR(__xludf.DUMMYFUNCTION("""COMPUTED_VALUE"""),"function unknown")</f>
        <v>function unknown</v>
      </c>
      <c r="D15" s="6"/>
    </row>
    <row r="16" spans="1:4" ht="15.75" customHeight="1" x14ac:dyDescent="0.15">
      <c r="A16" s="5" t="s">
        <v>15</v>
      </c>
      <c r="B16" s="6" t="str">
        <f ca="1">IFERROR(__xludf.DUMMYFUNCTION("""COMPUTED_VALUE"""),"Not in the same gentic environment as Mufasa8")</f>
        <v>Not in the same gentic environment as Mufasa8</v>
      </c>
      <c r="C16" s="6" t="str">
        <f ca="1">IFERROR(__xludf.DUMMYFUNCTION("""COMPUTED_VALUE"""),"similar environment, all genes to be expected")</f>
        <v>similar environment, all genes to be expected</v>
      </c>
      <c r="D16" s="6"/>
    </row>
    <row r="17" spans="1:4" ht="15.75" customHeight="1" x14ac:dyDescent="0.15">
      <c r="A17" s="5" t="s">
        <v>16</v>
      </c>
      <c r="B17" s="6" t="str">
        <f ca="1">IFERROR(__xludf.DUMMYFUNCTION("""COMPUTED_VALUE"""),"2LVS_A Putative uncharacterized protein; DNA BINDING PROTEIN; NMR {Hyperthermus butylicus}
Probability: 99.21%
Align Q: 75%
Align T: 88.57%")</f>
        <v>2LVS_A Putative uncharacterized protein; DNA BINDING PROTEIN; NMR {Hyperthermus butylicus}
Probability: 99.21%
Align Q: 75%
Align T: 88.57%</v>
      </c>
      <c r="C17" s="6" t="str">
        <f ca="1">IFERROR(__xludf.DUMMYFUNCTION("""COMPUTED_VALUE"""),"Mariner Mos1 transposase; transposase, transposon synaptic complex, helix-turn-helix, Rnase-H like fold, DNA transposition, hydrolase-dna complex; HET: SO4; 3.09A {Drosophila mauritiana}, 98.24%, q:78.2%, t:28.4%; yes; no")</f>
        <v>Mariner Mos1 transposase; transposase, transposon synaptic complex, helix-turn-helix, Rnase-H like fold, DNA transposition, hydrolase-dna complex; HET: SO4; 3.09A {Drosophila mauritiana}, 98.24%, q:78.2%, t:28.4%; yes; no</v>
      </c>
      <c r="D17" s="6"/>
    </row>
    <row r="18" spans="1:4" ht="15.75" customHeight="1" x14ac:dyDescent="0.15">
      <c r="A18" s="5" t="s">
        <v>17</v>
      </c>
      <c r="B18" s="6" t="str">
        <f ca="1">IFERROR(__xludf.DUMMYFUNCTION("""COMPUTED_VALUE"""),"transpos_IS630
HTH_7")</f>
        <v>transpos_IS630
HTH_7</v>
      </c>
      <c r="C18" s="6" t="str">
        <f ca="1">IFERROR(__xludf.DUMMYFUNCTION("""COMPUTED_VALUE"""),"transpos_IS360, HTH_7")</f>
        <v>transpos_IS360, HTH_7</v>
      </c>
      <c r="D18" s="6"/>
    </row>
    <row r="19" spans="1:4" ht="15.75" customHeight="1" x14ac:dyDescent="0.15">
      <c r="A19" s="5" t="s">
        <v>18</v>
      </c>
      <c r="B19" s="6" t="str">
        <f ca="1">IFERROR(__xludf.DUMMYFUNCTION("""COMPUTED_VALUE"""),"N/A")</f>
        <v>N/A</v>
      </c>
      <c r="C19" s="6" t="str">
        <f ca="1">IFERROR(__xludf.DUMMYFUNCTION("""COMPUTED_VALUE"""),"none")</f>
        <v>none</v>
      </c>
      <c r="D19" s="6"/>
    </row>
    <row r="20" spans="1:4" ht="15.75" customHeight="1" x14ac:dyDescent="0.15">
      <c r="A20" s="5" t="s">
        <v>19</v>
      </c>
      <c r="B20" s="6" t="str">
        <f ca="1">IFERROR(__xludf.DUMMYFUNCTION("""COMPUTED_VALUE"""),"helix-turn-helix DNA binding domain protein
It identified a DNA binding protein but also has an HTH domain which would make it this")</f>
        <v>helix-turn-helix DNA binding domain protein
It identified a DNA binding protein but also has an HTH domain which would make it this</v>
      </c>
      <c r="C20" s="6" t="str">
        <f ca="1">IFERROR(__xludf.DUMMYFUNCTION("""COMPUTED_VALUE"""),"Helix-turn-helix DNA Binding domain. a lot of the pham members call this function and an HTH is found in the converved domain.")</f>
        <v>Helix-turn-helix DNA Binding domain. a lot of the pham members call this function and an HTH is found in the converved domain.</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IFERROR(__xludf.DUMMYFUNCTION("IMPORTRANGE(""https://docs.google.com/spreadsheets/d/1rjebY3ldoEXrRbLWoPXCIhvF_kMyOvJr_yst6T3o1Qk"", ""S53!B1:B22"")"),"Zachary Edwards")</f>
        <v>Zachary Edwards</v>
      </c>
      <c r="C1" s="11" t="str">
        <f ca="1">IFERROR(__xludf.DUMMYFUNCTION("IMPORTRANGE(""https://docs.google.com/spreadsheets/d/118rN356SVQ9wRlO8Wn-8gpg7SdHsE4vm-XldkW2-iEo"", ""S53!B1:B22"")"),"McKinzie Novak")</f>
        <v>McKinzie Novak</v>
      </c>
      <c r="D1" s="2" t="s">
        <v>0</v>
      </c>
    </row>
    <row r="2" spans="1:4" ht="15.75" customHeight="1" x14ac:dyDescent="0.15">
      <c r="A2" s="3" t="s">
        <v>1</v>
      </c>
      <c r="B2" s="4" t="str">
        <f ca="1">IFERROR(__xludf.DUMMYFUNCTION("""COMPUTED_VALUE"""),"DNAM Start:35107 - Stop:35544 
PHAM Start:35107 - Stop:35544  
FOR")</f>
        <v>DNAM Start:35107 - Stop:35544 
PHAM Start:35107 - Stop:35544  
FOR</v>
      </c>
      <c r="C2" s="4" t="str">
        <f ca="1">IFERROR(__xludf.DUMMYFUNCTION("""COMPUTED_VALUE"""),"START: 35107
STOP: 35544
FORWARD")</f>
        <v>START: 35107
STOP: 35544
FORWARD</v>
      </c>
      <c r="D2" s="4"/>
    </row>
    <row r="3" spans="1:4" ht="15.75" customHeight="1" x14ac:dyDescent="0.15">
      <c r="A3" s="5" t="s">
        <v>2</v>
      </c>
      <c r="B3" s="6" t="str">
        <f ca="1">IFERROR(__xludf.DUMMYFUNCTION("""COMPUTED_VALUE"""),"DNAM:51
PHAM:53")</f>
        <v>DNAM:51
PHAM:53</v>
      </c>
      <c r="C3" s="6" t="str">
        <f ca="1">IFERROR(__xludf.DUMMYFUNCTION("""COMPUTED_VALUE"""),"DNAM: 51
PHAM: 53
Phagesdb: 53")</f>
        <v>DNAM: 51
PHAM: 53
Phagesdb: 53</v>
      </c>
      <c r="D3" s="6"/>
    </row>
    <row r="4" spans="1:4" ht="15.75" customHeight="1" x14ac:dyDescent="0.15">
      <c r="A4" s="5" t="s">
        <v>3</v>
      </c>
      <c r="B4" s="6" t="str">
        <f ca="1">IFERROR(__xludf.DUMMYFUNCTION("""COMPUTED_VALUE"""),"28266 3/31/25")</f>
        <v>28266 3/31/25</v>
      </c>
      <c r="C4" s="6" t="str">
        <f ca="1">IFERROR(__xludf.DUMMYFUNCTION("""COMPUTED_VALUE"""),"#28266   4/11/25")</f>
        <v>#28266   4/11/25</v>
      </c>
      <c r="D4" s="6"/>
    </row>
    <row r="5" spans="1:4" ht="15.75" customHeight="1" x14ac:dyDescent="0.15">
      <c r="A5" s="5" t="s">
        <v>4</v>
      </c>
      <c r="B5" s="6" t="str">
        <f ca="1">IFERROR(__xludf.DUMMYFUNCTION("""COMPUTED_VALUE"""),"Ryan_52
")</f>
        <v xml:space="preserve">Ryan_52
</v>
      </c>
      <c r="C5" s="6" t="str">
        <f ca="1">IFERROR(__xludf.DUMMYFUNCTION("""COMPUTED_VALUE"""),"QuinnAvery #53, Cole #52, Ryan #57")</f>
        <v>QuinnAvery #53, Cole #52, Ryan #57</v>
      </c>
      <c r="D5" s="6"/>
    </row>
    <row r="6" spans="1:4" ht="15.75" customHeight="1" x14ac:dyDescent="0.15">
      <c r="A6" s="5" t="s">
        <v>5</v>
      </c>
      <c r="B6" s="6" t="str">
        <f ca="1">IFERROR(__xludf.DUMMYFUNCTION("""COMPUTED_VALUE"""),"Both agree on start")</f>
        <v>Both agree on start</v>
      </c>
      <c r="C6" s="6" t="str">
        <f ca="1">IFERROR(__xludf.DUMMYFUNCTION("""COMPUTED_VALUE"""),"Both Glimmer and Genemark call this start at 35107")</f>
        <v>Both Glimmer and Genemark call this start at 35107</v>
      </c>
      <c r="D6" s="6"/>
    </row>
    <row r="7" spans="1:4" ht="15.75" customHeight="1" x14ac:dyDescent="0.15">
      <c r="A7" s="5" t="s">
        <v>6</v>
      </c>
      <c r="B7" s="6" t="str">
        <f ca="1">IFERROR(__xludf.DUMMYFUNCTION("""COMPUTED_VALUE"""),"Yes ")</f>
        <v xml:space="preserve">Yes </v>
      </c>
      <c r="C7" s="6" t="str">
        <f ca="1">IFERROR(__xludf.DUMMYFUNCTION("""COMPUTED_VALUE"""),"The coding potential here is not too good, but the little bit that it has is captured by the start.")</f>
        <v>The coding potential here is not too good, but the little bit that it has is captured by the start.</v>
      </c>
      <c r="D7" s="6"/>
    </row>
    <row r="8" spans="1:4" ht="15.75" customHeight="1" x14ac:dyDescent="0.15">
      <c r="A8" s="5" t="s">
        <v>7</v>
      </c>
      <c r="B8" s="6" t="str">
        <f ca="1">IFERROR(__xludf.DUMMYFUNCTION("""COMPUTED_VALUE"""),"Yes ")</f>
        <v xml:space="preserve">Yes </v>
      </c>
      <c r="C8" s="6" t="str">
        <f ca="1">IFERROR(__xludf.DUMMYFUNCTION("""COMPUTED_VALUE"""),"Yes, this is the longest ORF")</f>
        <v>Yes, this is the longest ORF</v>
      </c>
      <c r="D8" s="6"/>
    </row>
    <row r="9" spans="1:4" ht="15.75" customHeight="1" x14ac:dyDescent="0.15">
      <c r="A9" s="5" t="s">
        <v>8</v>
      </c>
      <c r="B9" s="6" t="str">
        <f ca="1">IFERROR(__xludf.DUMMYFUNCTION("""COMPUTED_VALUE"""),"18 NT Gap")</f>
        <v>18 NT Gap</v>
      </c>
      <c r="C9" s="6" t="str">
        <f ca="1">IFERROR(__xludf.DUMMYFUNCTION("""COMPUTED_VALUE"""),"There is an 18 basepair gap between this start and the previous gene.")</f>
        <v>There is an 18 basepair gap between this start and the previous gene.</v>
      </c>
      <c r="D9" s="6"/>
    </row>
    <row r="10" spans="1:4" ht="15.75" customHeight="1" x14ac:dyDescent="0.15">
      <c r="A10" s="5" t="s">
        <v>9</v>
      </c>
      <c r="B10" s="6" t="str">
        <f ca="1">IFERROR(__xludf.DUMMYFUNCTION("""COMPUTED_VALUE"""),"Current 3.164 (35107) Best")</f>
        <v>Current 3.164 (35107) Best</v>
      </c>
      <c r="C10" s="6" t="str">
        <f ca="1">IFERROR(__xludf.DUMMYFUNCTION("""COMPUTED_VALUE"""),"Start: 35107 z-score:3.16 rbs:-2.2")</f>
        <v>Start: 35107 z-score:3.16 rbs:-2.2</v>
      </c>
      <c r="D10" s="6"/>
    </row>
    <row r="11" spans="1:4" ht="15.75" customHeight="1" x14ac:dyDescent="0.15">
      <c r="A11" s="5" t="s">
        <v>10</v>
      </c>
      <c r="B11" s="6" t="str">
        <f ca="1">IFERROR(__xludf.DUMMYFUNCTION("""COMPUTED_VALUE"""),"Ryan_52
%ID: 80%
E:3e-62
1:1 becomes 145:149")</f>
        <v>Ryan_52
%ID: 80%
E:3e-62
1:1 becomes 145:149</v>
      </c>
      <c r="C11" s="6" t="str">
        <f ca="1">IFERROR(__xludf.DUMMYFUNCTION("""COMPUTED_VALUE"""),"QuinnAvery#53 %ID:75 eval:0.0e0
Q:1 S:1 
Cole #52 %ID:73.8 eval:0.0e0
Q:1 S:1
Ryan #57 %ID:75.1 eval:0.0e0
Q:1 S:1")</f>
        <v>QuinnAvery#53 %ID:75 eval:0.0e0
Q:1 S:1 
Cole #52 %ID:73.8 eval:0.0e0
Q:1 S:1
Ryan #57 %ID:75.1 eval:0.0e0
Q:1 S:1</v>
      </c>
      <c r="D11" s="6"/>
    </row>
    <row r="12" spans="1:4" ht="15.75" customHeight="1" x14ac:dyDescent="0.15">
      <c r="A12" s="5" t="s">
        <v>11</v>
      </c>
      <c r="B12" s="6" t="str">
        <f ca="1">IFERROR(__xludf.DUMMYFUNCTION("""COMPUTED_VALUE"""),"15 of 17 call current start (Most of FF)")</f>
        <v>15 of 17 call current start (Most of FF)</v>
      </c>
      <c r="C12" s="6" t="str">
        <f ca="1">IFERROR(__xludf.DUMMYFUNCTION("""COMPUTED_VALUE"""),"This start (#3) is the most annotated start with most FF cluster phages calling it including schism, others don't have the start and have to call something else")</f>
        <v>This start (#3) is the most annotated start with most FF cluster phages calling it including schism, others don't have the start and have to call something else</v>
      </c>
      <c r="D12" s="6"/>
    </row>
    <row r="13" spans="1:4" ht="15.75" customHeight="1" x14ac:dyDescent="0.15">
      <c r="A13" s="5" t="s">
        <v>12</v>
      </c>
      <c r="B13" s="6" t="str">
        <f ca="1">IFERROR(__xludf.DUMMYFUNCTION("""COMPUTED_VALUE"""),"No reason to")</f>
        <v>No reason to</v>
      </c>
      <c r="C13" s="6" t="str">
        <f ca="1">IFERROR(__xludf.DUMMYFUNCTION("""COMPUTED_VALUE"""),"No. it has a good z-score and moving it will cut out the little coding potential that the gene does have")</f>
        <v>No. it has a good z-score and moving it will cut out the little coding potential that the gene does have</v>
      </c>
      <c r="D13" s="6"/>
    </row>
    <row r="14" spans="1:4" ht="15.75" customHeight="1" x14ac:dyDescent="0.15">
      <c r="A14" s="5" t="s">
        <v>13</v>
      </c>
      <c r="B14" s="6" t="str">
        <f ca="1">IFERROR(__xludf.DUMMYFUNCTION("""COMPUTED_VALUE"""),"Ryan_52
E:2e-62")</f>
        <v>Ryan_52
E:2e-62</v>
      </c>
      <c r="C14" s="6" t="str">
        <f ca="1">IFERROR(__xludf.DUMMYFUNCTION("""COMPUTED_VALUE"""),"QuinnAvery #53 0.0e0
Cole #52 0.0e0
Ryan #57 0.0e0")</f>
        <v>QuinnAvery #53 0.0e0
Cole #52 0.0e0
Ryan #57 0.0e0</v>
      </c>
      <c r="D14" s="6"/>
    </row>
    <row r="15" spans="1:4" ht="15.75" customHeight="1" x14ac:dyDescent="0.15">
      <c r="A15" s="5" t="s">
        <v>14</v>
      </c>
      <c r="B15" s="6" t="str">
        <f ca="1">IFERROR(__xludf.DUMMYFUNCTION("""COMPUTED_VALUE"""),"Unknown Function")</f>
        <v>Unknown Function</v>
      </c>
      <c r="C15" s="6" t="str">
        <f ca="1">IFERROR(__xludf.DUMMYFUNCTION("""COMPUTED_VALUE"""),"QuinnAvery #53 (hypothetical protein)
Cole #52 (hypothetical protein)
Ryan #57 (hypothetical protein)")</f>
        <v>QuinnAvery #53 (hypothetical protein)
Cole #52 (hypothetical protein)
Ryan #57 (hypothetical protein)</v>
      </c>
      <c r="D15" s="6"/>
    </row>
    <row r="16" spans="1:4" ht="15.75" customHeight="1" x14ac:dyDescent="0.15">
      <c r="A16" s="5" t="s">
        <v>15</v>
      </c>
      <c r="B16" s="6" t="str">
        <f ca="1">IFERROR(__xludf.DUMMYFUNCTION("""COMPUTED_VALUE"""),"Same Genetic Enviornment as Ryan")</f>
        <v>Same Genetic Enviornment as Ryan</v>
      </c>
      <c r="C16" s="6" t="str">
        <f ca="1">IFERROR(__xludf.DUMMYFUNCTION("""COMPUTED_VALUE"""),"Yes, the gene fits in its genetic environment with an adjacent hypothetical protein on both sides ")</f>
        <v xml:space="preserve">Yes, the gene fits in its genetic environment with an adjacent hypothetical protein on both sides </v>
      </c>
      <c r="D16" s="6"/>
    </row>
    <row r="17" spans="1:4" ht="15.75" customHeight="1" x14ac:dyDescent="0.15">
      <c r="A17" s="5" t="s">
        <v>16</v>
      </c>
      <c r="B17" s="6" t="str">
        <f ca="1">IFERROR(__xludf.DUMMYFUNCTION("""COMPUTED_VALUE"""),"Nothing of reasonable comparabilty")</f>
        <v>Nothing of reasonable comparabilty</v>
      </c>
      <c r="C17" s="6" t="str">
        <f ca="1">IFERROR(__xludf.DUMMYFUNCTION("""COMPUTED_VALUE"""),"DESC: DUF5678; Family of unknown function
Prob:41.01 %ALT:27.1 %ALQ:8.97
No, its a domain of unknown function, so the protein is hypothetical")</f>
        <v>DESC: DUF5678; Family of unknown function
Prob:41.01 %ALT:27.1 %ALQ:8.97
No, its a domain of unknown function, so the protein is hypothetical</v>
      </c>
      <c r="D17" s="6"/>
    </row>
    <row r="18" spans="1:4" ht="15.75" customHeight="1" x14ac:dyDescent="0.15">
      <c r="A18" s="5" t="s">
        <v>17</v>
      </c>
      <c r="B18" s="6" t="str">
        <f ca="1">IFERROR(__xludf.DUMMYFUNCTION("""COMPUTED_VALUE"""),"DUF")</f>
        <v>DUF</v>
      </c>
      <c r="C18" s="6" t="str">
        <f ca="1">IFERROR(__xludf.DUMMYFUNCTION("""COMPUTED_VALUE"""),"None.")</f>
        <v>None.</v>
      </c>
      <c r="D18" s="6"/>
    </row>
    <row r="19" spans="1:4" ht="15.75" customHeight="1" x14ac:dyDescent="0.15">
      <c r="A19" s="5" t="s">
        <v>18</v>
      </c>
      <c r="B19" s="6" t="str">
        <f ca="1">IFERROR(__xludf.DUMMYFUNCTION("""COMPUTED_VALUE"""),"N/A")</f>
        <v>N/A</v>
      </c>
      <c r="C19" s="6" t="str">
        <f ca="1">IFERROR(__xludf.DUMMYFUNCTION("""COMPUTED_VALUE"""),"None.")</f>
        <v>None.</v>
      </c>
      <c r="D19" s="6"/>
    </row>
    <row r="20" spans="1:4" ht="15.75" customHeight="1" x14ac:dyDescent="0.15">
      <c r="A20" s="5" t="s">
        <v>19</v>
      </c>
      <c r="B20" s="6" t="str">
        <f ca="1">IFERROR(__xludf.DUMMYFUNCTION("""COMPUTED_VALUE"""),"Hypothetical Protein")</f>
        <v>Hypothetical Protein</v>
      </c>
      <c r="C20" s="6" t="str">
        <f ca="1">IFERROR(__xludf.DUMMYFUNCTION("""COMPUTED_VALUE"""),"Hypothetical")</f>
        <v>Hypothetical</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IFERROR(__xludf.DUMMYFUNCTION("IMPORTRANGE(""https://docs.google.com/spreadsheets/d/1rjebY3ldoEXrRbLWoPXCIhvF_kMyOvJr_yst6T3o1Qk"", ""S54!B1:B22"")"),"Zachary Edwards")</f>
        <v>Zachary Edwards</v>
      </c>
      <c r="C1" s="11" t="str">
        <f ca="1">IFERROR(__xludf.DUMMYFUNCTION("IMPORTRANGE(""https://docs.google.com/spreadsheets/d/118rN356SVQ9wRlO8Wn-8gpg7SdHsE4vm-XldkW2-iEo"", ""S54!B1:B22"")"),"McKinzie Novak")</f>
        <v>McKinzie Novak</v>
      </c>
      <c r="D1" s="2" t="s">
        <v>0</v>
      </c>
    </row>
    <row r="2" spans="1:4" ht="15.75" customHeight="1" x14ac:dyDescent="0.15">
      <c r="A2" s="3" t="s">
        <v>1</v>
      </c>
      <c r="B2" s="4" t="str">
        <f ca="1">IFERROR(__xludf.DUMMYFUNCTION("""COMPUTED_VALUE"""),"DNAM Start:35701 - Stop:36633
PHAM Start:35701 - Stop:36633
FOR")</f>
        <v>DNAM Start:35701 - Stop:36633
PHAM Start:35701 - Stop:36633
FOR</v>
      </c>
      <c r="C2" s="4" t="str">
        <f ca="1">IFERROR(__xludf.DUMMYFUNCTION("""COMPUTED_VALUE"""),"START: 35701
STOP: 36633
FORWARD")</f>
        <v>START: 35701
STOP: 36633
FORWARD</v>
      </c>
      <c r="D2" s="4"/>
    </row>
    <row r="3" spans="1:4" ht="15.75" customHeight="1" x14ac:dyDescent="0.15">
      <c r="A3" s="5" t="s">
        <v>2</v>
      </c>
      <c r="B3" s="6" t="str">
        <f ca="1">IFERROR(__xludf.DUMMYFUNCTION("""COMPUTED_VALUE"""),"DNAM:52
PHAM:54")</f>
        <v>DNAM:52
PHAM:54</v>
      </c>
      <c r="C3" s="6" t="str">
        <f ca="1">IFERROR(__xludf.DUMMYFUNCTION("""COMPUTED_VALUE"""),"DNAM: 52
PHAM: 54
Phagesdb: 54")</f>
        <v>DNAM: 52
PHAM: 54
Phagesdb: 54</v>
      </c>
      <c r="D3" s="6"/>
    </row>
    <row r="4" spans="1:4" ht="15.75" customHeight="1" x14ac:dyDescent="0.15">
      <c r="A4" s="5" t="s">
        <v>3</v>
      </c>
      <c r="B4" s="6" t="str">
        <f ca="1">IFERROR(__xludf.DUMMYFUNCTION("""COMPUTED_VALUE"""),"90276 3/31/25")</f>
        <v>90276 3/31/25</v>
      </c>
      <c r="C4" s="6" t="str">
        <f ca="1">IFERROR(__xludf.DUMMYFUNCTION("""COMPUTED_VALUE"""),"#90276   4/11/25")</f>
        <v>#90276   4/11/25</v>
      </c>
      <c r="D4" s="6"/>
    </row>
    <row r="5" spans="1:4" ht="15.75" customHeight="1" x14ac:dyDescent="0.15">
      <c r="A5" s="5" t="s">
        <v>4</v>
      </c>
      <c r="B5" s="6" t="str">
        <f ca="1">IFERROR(__xludf.DUMMYFUNCTION("""COMPUTED_VALUE"""),"Nandita_53")</f>
        <v>Nandita_53</v>
      </c>
      <c r="C5" s="6" t="str">
        <f ca="1">IFERROR(__xludf.DUMMYFUNCTION("""COMPUTED_VALUE"""),"Nandita #53, Elesar #46")</f>
        <v>Nandita #53, Elesar #46</v>
      </c>
      <c r="D5" s="6"/>
    </row>
    <row r="6" spans="1:4" ht="15.75" customHeight="1" x14ac:dyDescent="0.15">
      <c r="A6" s="5" t="s">
        <v>5</v>
      </c>
      <c r="B6" s="6" t="str">
        <f ca="1">IFERROR(__xludf.DUMMYFUNCTION("""COMPUTED_VALUE"""),"Both agree on start")</f>
        <v>Both agree on start</v>
      </c>
      <c r="C6" s="6" t="str">
        <f ca="1">IFERROR(__xludf.DUMMYFUNCTION("""COMPUTED_VALUE"""),"Both glimmer and genemark call this start at 35701")</f>
        <v>Both glimmer and genemark call this start at 35701</v>
      </c>
      <c r="D6" s="6"/>
    </row>
    <row r="7" spans="1:4" ht="15.75" customHeight="1" x14ac:dyDescent="0.15">
      <c r="A7" s="5" t="s">
        <v>6</v>
      </c>
      <c r="B7" s="6" t="str">
        <f ca="1">IFERROR(__xludf.DUMMYFUNCTION("""COMPUTED_VALUE"""),"Portions of the front and back of gene not included.")</f>
        <v>Portions of the front and back of gene not included.</v>
      </c>
      <c r="C7" s="6" t="str">
        <f ca="1">IFERROR(__xludf.DUMMYFUNCTION("""COMPUTED_VALUE"""),"The gene has alot of spiking in the coding potential so its not too good, but the start does capture what it has.")</f>
        <v>The gene has alot of spiking in the coding potential so its not too good, but the start does capture what it has.</v>
      </c>
      <c r="D7" s="6"/>
    </row>
    <row r="8" spans="1:4" ht="15.75" customHeight="1" x14ac:dyDescent="0.15">
      <c r="A8" s="5" t="s">
        <v>7</v>
      </c>
      <c r="B8" s="6" t="str">
        <f ca="1">IFERROR(__xludf.DUMMYFUNCTION("""COMPUTED_VALUE"""),"Yes")</f>
        <v>Yes</v>
      </c>
      <c r="C8" s="6" t="str">
        <f ca="1">IFERROR(__xludf.DUMMYFUNCTION("""COMPUTED_VALUE"""),"Yes, this start is the longest possible ORF")</f>
        <v>Yes, this start is the longest possible ORF</v>
      </c>
      <c r="D8" s="6"/>
    </row>
    <row r="9" spans="1:4" ht="15.75" customHeight="1" x14ac:dyDescent="0.15">
      <c r="A9" s="5" t="s">
        <v>8</v>
      </c>
      <c r="B9" s="6" t="str">
        <f ca="1">IFERROR(__xludf.DUMMYFUNCTION("""COMPUTED_VALUE"""),"157 NT Gap")</f>
        <v>157 NT Gap</v>
      </c>
      <c r="C9" s="6" t="str">
        <f ca="1">IFERROR(__xludf.DUMMYFUNCTION("""COMPUTED_VALUE"""),"This gene has a 204 basepair gap between this start and the previous gene")</f>
        <v>This gene has a 204 basepair gap between this start and the previous gene</v>
      </c>
      <c r="D9" s="6"/>
    </row>
    <row r="10" spans="1:4" ht="15.75" customHeight="1" x14ac:dyDescent="0.15">
      <c r="A10" s="5" t="s">
        <v>9</v>
      </c>
      <c r="B10" s="6" t="str">
        <f ca="1">IFERROR(__xludf.DUMMYFUNCTION("""COMPUTED_VALUE"""),"Current 2.627 (25701) Best")</f>
        <v>Current 2.627 (25701) Best</v>
      </c>
      <c r="C10" s="6" t="str">
        <f ca="1">IFERROR(__xludf.DUMMYFUNCTION("""COMPUTED_VALUE"""),"Start:35701 z-score:2.63 rbs:-3.4")</f>
        <v>Start:35701 z-score:2.63 rbs:-3.4</v>
      </c>
      <c r="D10" s="6"/>
    </row>
    <row r="11" spans="1:4" ht="15.75" customHeight="1" x14ac:dyDescent="0.15">
      <c r="A11" s="5" t="s">
        <v>10</v>
      </c>
      <c r="B11" s="6" t="str">
        <f ca="1">IFERROR(__xludf.DUMMYFUNCTION("""COMPUTED_VALUE"""),"Nandita_53
%ID:98.06%
E:0
1:1")</f>
        <v>Nandita_53
%ID:98.06%
E:0
1:1</v>
      </c>
      <c r="C11" s="6" t="str">
        <f ca="1">IFERROR(__xludf.DUMMYFUNCTION("""COMPUTED_VALUE"""),"Nandita #53 %ID:98.2 eval:0.0e0
Q:1 S:1
Elesar #46 %ID:81.9 eval:0.0e0
Q:1 S:1")</f>
        <v>Nandita #53 %ID:98.2 eval:0.0e0
Q:1 S:1
Elesar #46 %ID:81.9 eval:0.0e0
Q:1 S:1</v>
      </c>
      <c r="D11" s="6"/>
    </row>
    <row r="12" spans="1:4" ht="15.75" customHeight="1" x14ac:dyDescent="0.15">
      <c r="A12" s="5" t="s">
        <v>11</v>
      </c>
      <c r="B12" s="6" t="str">
        <f ca="1">IFERROR(__xludf.DUMMYFUNCTION("""COMPUTED_VALUE"""),"7 of 7 call current start")</f>
        <v>7 of 7 call current start</v>
      </c>
      <c r="C12" s="6" t="str">
        <f ca="1">IFERROR(__xludf.DUMMYFUNCTION("""COMPUTED_VALUE"""),"Yes, the start is conserved in all members of this pham. (#2) is the only start actually called by all these phages")</f>
        <v>Yes, the start is conserved in all members of this pham. (#2) is the only start actually called by all these phages</v>
      </c>
      <c r="D12" s="6"/>
    </row>
    <row r="13" spans="1:4" ht="15.75" customHeight="1" x14ac:dyDescent="0.15">
      <c r="A13" s="5" t="s">
        <v>12</v>
      </c>
      <c r="B13" s="6" t="str">
        <f ca="1">IFERROR(__xludf.DUMMYFUNCTION("""COMPUTED_VALUE"""),"No, gap is present in nandita as well")</f>
        <v>No, gap is present in nandita as well</v>
      </c>
      <c r="C13" s="6" t="str">
        <f ca="1">IFERROR(__xludf.DUMMYFUNCTION("""COMPUTED_VALUE"""),"No, the start is well conserved in starterator and has the highest z-score")</f>
        <v>No, the start is well conserved in starterator and has the highest z-score</v>
      </c>
      <c r="D13" s="6"/>
    </row>
    <row r="14" spans="1:4" ht="15.75" customHeight="1" x14ac:dyDescent="0.15">
      <c r="A14" s="5" t="s">
        <v>13</v>
      </c>
      <c r="B14" s="6" t="str">
        <f ca="1">IFERROR(__xludf.DUMMYFUNCTION("""COMPUTED_VALUE"""),"Nandita_53
E: e-178")</f>
        <v>Nandita_53
E: e-178</v>
      </c>
      <c r="C14" s="6" t="str">
        <f ca="1">IFERROR(__xludf.DUMMYFUNCTION("""COMPUTED_VALUE"""),"Nandita #53 eval: 0.0e0
Elesar #46 eval: 0.0e0")</f>
        <v>Nandita #53 eval: 0.0e0
Elesar #46 eval: 0.0e0</v>
      </c>
      <c r="D14" s="6"/>
    </row>
    <row r="15" spans="1:4" ht="15.75" customHeight="1" x14ac:dyDescent="0.15">
      <c r="A15" s="5" t="s">
        <v>14</v>
      </c>
      <c r="B15" s="6" t="str">
        <f ca="1">IFERROR(__xludf.DUMMYFUNCTION("""COMPUTED_VALUE"""),"HTH DNA binding protein")</f>
        <v>HTH DNA binding protein</v>
      </c>
      <c r="C15" s="6" t="str">
        <f ca="1">IFERROR(__xludf.DUMMYFUNCTION("""COMPUTED_VALUE"""),"Nandita #53 (Helix-turn-helix DNA binding protein)
Elesar #46 (Helix-turn-helix DNA binding domain)")</f>
        <v>Nandita #53 (Helix-turn-helix DNA binding protein)
Elesar #46 (Helix-turn-helix DNA binding domain)</v>
      </c>
      <c r="D15" s="6"/>
    </row>
    <row r="16" spans="1:4" ht="15.75" customHeight="1" x14ac:dyDescent="0.15">
      <c r="A16" s="5" t="s">
        <v>15</v>
      </c>
      <c r="B16" s="6" t="str">
        <f ca="1">IFERROR(__xludf.DUMMYFUNCTION("""COMPUTED_VALUE"""),"Same genetic enviornment as nandita")</f>
        <v>Same genetic enviornment as nandita</v>
      </c>
      <c r="C16" s="6" t="str">
        <f ca="1">IFERROR(__xludf.DUMMYFUNCTION("""COMPUTED_VALUE"""),"Yes, the gene fits in its genetic environment with an adjacent hypothetical protein to the left and an adjacent DNA polymerase III sliding clamp beta to the right. But there is good alignment.")</f>
        <v>Yes, the gene fits in its genetic environment with an adjacent hypothetical protein to the left and an adjacent DNA polymerase III sliding clamp beta to the right. But there is good alignment.</v>
      </c>
      <c r="D16" s="6"/>
    </row>
    <row r="17" spans="1:4" ht="15.75" customHeight="1" x14ac:dyDescent="0.15">
      <c r="A17" s="5" t="s">
        <v>16</v>
      </c>
      <c r="B17" s="6" t="str">
        <f ca="1">IFERROR(__xludf.DUMMYFUNCTION("""COMPUTED_VALUE"""),"8VD6_A CAP REPEAT; diffusion, generation, de novo, RoseTTAFold, sequence, ProteinGenerator, PROTEIN GENERATOR, deep learning, machine learning, generative model, DE; 3.7A {synthetic construct}
Probability: 98.5%
Align Q: 53.55%
Align T: 89.73%")</f>
        <v>8VD6_A CAP REPEAT; diffusion, generation, de novo, RoseTTAFold, sequence, ProteinGenerator, PROTEIN GENERATOR, deep learning, machine learning, generative model, DE; 3.7A {synthetic construct}
Probability: 98.5%
Align Q: 53.55%
Align T: 89.73%</v>
      </c>
      <c r="C17" s="6" t="str">
        <f ca="1">IFERROR(__xludf.DUMMYFUNCTION("""COMPUTED_VALUE"""),"DESC: CAP REPEAT; diffusion, generation, de novo, RoseTTAFold, sequence, ProteinGenerator, PROTEIN GENERATOR, deep learning
Prob:98.5 %ALT:89.73 %ALQ:53.54
Has no domain due to disordered binding (needs further research) BUT aligns with a H-T-H")</f>
        <v>DESC: CAP REPEAT; diffusion, generation, de novo, RoseTTAFold, sequence, ProteinGenerator, PROTEIN GENERATOR, deep learning
Prob:98.5 %ALT:89.73 %ALQ:53.54
Has no domain due to disordered binding (needs further research) BUT aligns with a H-T-H</v>
      </c>
      <c r="D17" s="6"/>
    </row>
    <row r="18" spans="1:4" ht="15.75" customHeight="1" x14ac:dyDescent="0.15">
      <c r="A18" s="5" t="s">
        <v>17</v>
      </c>
      <c r="B18" s="6" t="str">
        <f ca="1">IFERROR(__xludf.DUMMYFUNCTION("""COMPUTED_VALUE"""),"DUF")</f>
        <v>DUF</v>
      </c>
      <c r="C18" s="6" t="str">
        <f ca="1">IFERROR(__xludf.DUMMYFUNCTION("""COMPUTED_VALUE"""),"None.")</f>
        <v>None.</v>
      </c>
      <c r="D18" s="6"/>
    </row>
    <row r="19" spans="1:4" ht="15.75" customHeight="1" x14ac:dyDescent="0.15">
      <c r="A19" s="5" t="s">
        <v>18</v>
      </c>
      <c r="B19" s="6" t="str">
        <f ca="1">IFERROR(__xludf.DUMMYFUNCTION("""COMPUTED_VALUE"""),"N/A")</f>
        <v>N/A</v>
      </c>
      <c r="C19" s="6" t="str">
        <f ca="1">IFERROR(__xludf.DUMMYFUNCTION("""COMPUTED_VALUE"""),"None.")</f>
        <v>None.</v>
      </c>
      <c r="D19" s="6"/>
    </row>
    <row r="20" spans="1:4" ht="15.75" customHeight="1" x14ac:dyDescent="0.15">
      <c r="A20" s="5" t="s">
        <v>19</v>
      </c>
      <c r="B20" s="6" t="str">
        <f ca="1">IFERROR(__xludf.DUMMYFUNCTION("""COMPUTED_VALUE"""),"HTH DNA binding protein, near identical to Nandita")</f>
        <v>HTH DNA binding protein, near identical to Nandita</v>
      </c>
      <c r="C20" s="6" t="str">
        <f ca="1">IFERROR(__xludf.DUMMYFUNCTION("""COMPUTED_VALUE"""),"Helix-turn-helix DNA binding protein")</f>
        <v>Helix-turn-helix DNA binding protein</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IFERROR(__xludf.DUMMYFUNCTION("IMPORTRANGE(""https://docs.google.com/spreadsheets/d/1xJbcWhjJwppoDUCHCotLHO1vyy_ugWR-w2T_Z5J7WD4"", ""S55!B1:B22"")"),"Rin Godfrey")</f>
        <v>Rin Godfrey</v>
      </c>
      <c r="C1" s="11" t="str">
        <f ca="1">IFERROR(__xludf.DUMMYFUNCTION("IMPORTRANGE(""https://docs.google.com/spreadsheets/d/1NBZgc2wQWlGwpwt7AcCySCDz0bod7B0VKf0lrtlBP8Q"", ""S55!B1:B22"")"),"Jackson Root")</f>
        <v>Jackson Root</v>
      </c>
      <c r="D1" s="2" t="s">
        <v>0</v>
      </c>
    </row>
    <row r="2" spans="1:4" ht="15.75" customHeight="1" x14ac:dyDescent="0.15">
      <c r="A2" s="3" t="s">
        <v>1</v>
      </c>
      <c r="B2" s="4" t="str">
        <f ca="1">IFERROR(__xludf.DUMMYFUNCTION("""COMPUTED_VALUE"""),"36674 - 37738 FOR")</f>
        <v>36674 - 37738 FOR</v>
      </c>
      <c r="C2" s="4" t="str">
        <f ca="1">IFERROR(__xludf.DUMMYFUNCTION("""COMPUTED_VALUE"""),"Start: 36674    Stop: 37738   Forward")</f>
        <v>Start: 36674    Stop: 37738   Forward</v>
      </c>
      <c r="D2" s="4"/>
    </row>
    <row r="3" spans="1:4" ht="15.75" customHeight="1" x14ac:dyDescent="0.15">
      <c r="A3" s="5" t="s">
        <v>2</v>
      </c>
      <c r="B3" s="6" t="str">
        <f ca="1">IFERROR(__xludf.DUMMYFUNCTION("""COMPUTED_VALUE"""),"DNA Master: 53
Phamerator: 55")</f>
        <v>DNA Master: 53
Phamerator: 55</v>
      </c>
      <c r="C3" s="6" t="str">
        <f ca="1">IFERROR(__xludf.DUMMYFUNCTION("""COMPUTED_VALUE"""),"Pham: 55    DNA: 53")</f>
        <v>Pham: 55    DNA: 53</v>
      </c>
      <c r="D3" s="6"/>
    </row>
    <row r="4" spans="1:4" ht="15.75" customHeight="1" x14ac:dyDescent="0.15">
      <c r="A4" s="5" t="s">
        <v>3</v>
      </c>
      <c r="B4" s="6" t="str">
        <f ca="1">IFERROR(__xludf.DUMMYFUNCTION("""COMPUTED_VALUE"""),"206973 4/11/25")</f>
        <v>206973 4/11/25</v>
      </c>
      <c r="C4" s="6" t="str">
        <f ca="1">IFERROR(__xludf.DUMMYFUNCTION("""COMPUTED_VALUE"""),"pham 206973  04/16/25")</f>
        <v>pham 206973  04/16/25</v>
      </c>
      <c r="D4" s="6"/>
    </row>
    <row r="5" spans="1:4" ht="15.75" customHeight="1" x14ac:dyDescent="0.15">
      <c r="A5" s="5" t="s">
        <v>4</v>
      </c>
      <c r="B5" s="6" t="str">
        <f ca="1">IFERROR(__xludf.DUMMYFUNCTION("""COMPUTED_VALUE"""),"Nandita_54, GoodLuckBabe_55")</f>
        <v>Nandita_54, GoodLuckBabe_55</v>
      </c>
      <c r="C5" s="6" t="str">
        <f ca="1">IFERROR(__xludf.DUMMYFUNCTION("""COMPUTED_VALUE"""),"Nandita_54, Zaheer_55")</f>
        <v>Nandita_54, Zaheer_55</v>
      </c>
      <c r="D5" s="6"/>
    </row>
    <row r="6" spans="1:4" ht="15.75" customHeight="1" x14ac:dyDescent="0.15">
      <c r="A6" s="5" t="s">
        <v>5</v>
      </c>
      <c r="B6" s="6" t="str">
        <f ca="1">IFERROR(__xludf.DUMMYFUNCTION("""COMPUTED_VALUE"""),"Both at 36674 ")</f>
        <v xml:space="preserve">Both at 36674 </v>
      </c>
      <c r="C6" s="6" t="str">
        <f ca="1">IFERROR(__xludf.DUMMYFUNCTION("""COMPUTED_VALUE"""),"Both called 36674")</f>
        <v>Both called 36674</v>
      </c>
      <c r="D6" s="6"/>
    </row>
    <row r="7" spans="1:4" ht="15.75" customHeight="1" x14ac:dyDescent="0.15">
      <c r="A7" s="5" t="s">
        <v>6</v>
      </c>
      <c r="B7" s="6" t="str">
        <f ca="1">IFERROR(__xludf.DUMMYFUNCTION("""COMPUTED_VALUE"""),"Good potential lose a little at the end but that it.")</f>
        <v>Good potential lose a little at the end but that it.</v>
      </c>
      <c r="C7" s="6" t="str">
        <f ca="1">IFERROR(__xludf.DUMMYFUNCTION("""COMPUTED_VALUE"""),"Yes there is coding potential, not all potential captured but theres not a furher start")</f>
        <v>Yes there is coding potential, not all potential captured but theres not a furher start</v>
      </c>
      <c r="D7" s="6"/>
    </row>
    <row r="8" spans="1:4" ht="15.75" customHeight="1" x14ac:dyDescent="0.15">
      <c r="A8" s="5" t="s">
        <v>7</v>
      </c>
      <c r="B8" s="6" t="str">
        <f ca="1">IFERROR(__xludf.DUMMYFUNCTION("""COMPUTED_VALUE"""),"Yes")</f>
        <v>Yes</v>
      </c>
      <c r="C8" s="6" t="str">
        <f ca="1">IFERROR(__xludf.DUMMYFUNCTION("""COMPUTED_VALUE"""),"Yes this is the longest ORF")</f>
        <v>Yes this is the longest ORF</v>
      </c>
      <c r="D8" s="6"/>
    </row>
    <row r="9" spans="1:4" ht="15.75" customHeight="1" x14ac:dyDescent="0.15">
      <c r="A9" s="5" t="s">
        <v>8</v>
      </c>
      <c r="B9" s="6" t="str">
        <f ca="1">IFERROR(__xludf.DUMMYFUNCTION("""COMPUTED_VALUE"""),"Gap of 41 nucleotide")</f>
        <v>Gap of 41 nucleotide</v>
      </c>
      <c r="C9" s="6" t="str">
        <f ca="1">IFERROR(__xludf.DUMMYFUNCTION("""COMPUTED_VALUE"""),"41 Bp gap with previous")</f>
        <v>41 Bp gap with previous</v>
      </c>
      <c r="D9" s="6"/>
    </row>
    <row r="10" spans="1:4" ht="15.75" customHeight="1" x14ac:dyDescent="0.15">
      <c r="A10" s="5" t="s">
        <v>9</v>
      </c>
      <c r="B10" s="6" t="str">
        <f ca="1">IFERROR(__xludf.DUMMYFUNCTION("""COMPUTED_VALUE"""),"Z-score 2.123, F-score -4.347")</f>
        <v>Z-score 2.123, F-score -4.347</v>
      </c>
      <c r="C10" s="6" t="str">
        <f ca="1">IFERROR(__xludf.DUMMYFUNCTION("""COMPUTED_VALUE"""),"This is the second best rbs; Z: 2.123")</f>
        <v>This is the second best rbs; Z: 2.123</v>
      </c>
      <c r="D10" s="6"/>
    </row>
    <row r="11" spans="1:4" ht="15.75" customHeight="1" x14ac:dyDescent="0.15">
      <c r="A11" s="5" t="s">
        <v>10</v>
      </c>
      <c r="B11" s="6" t="str">
        <f ca="1">IFERROR(__xludf.DUMMYFUNCTION("""COMPUTED_VALUE"""),"Nandita_54
92.45% identity, 7e-176
q: 1-264 t: 1-265")</f>
        <v>Nandita_54
92.45% identity, 7e-176
q: 1-264 t: 1-265</v>
      </c>
      <c r="C11" s="6" t="str">
        <f ca="1">IFERROR(__xludf.DUMMYFUNCTION("""COMPUTED_VALUE"""),"Best hit was Nandita (DNA Polymerase III sliding clamp beta); E-val: 0.0e0; Q: 1-264; T: 1-265")</f>
        <v>Best hit was Nandita (DNA Polymerase III sliding clamp beta); E-val: 0.0e0; Q: 1-264; T: 1-265</v>
      </c>
      <c r="D11" s="6"/>
    </row>
    <row r="12" spans="1:4" ht="15.75" customHeight="1" x14ac:dyDescent="0.15">
      <c r="A12" s="5" t="s">
        <v>11</v>
      </c>
      <c r="B12" s="6" t="str">
        <f ca="1">IFERROR(__xludf.DUMMYFUNCTION("""COMPUTED_VALUE"""),"Found in 100% of pham but is called d 54.5% of time when present
.")</f>
        <v>Found in 100% of pham but is called d 54.5% of time when present
.</v>
      </c>
      <c r="C12" s="6" t="str">
        <f ca="1">IFERROR(__xludf.DUMMYFUNCTION("""COMPUTED_VALUE"""),"Start conserved, called 71.4% when present")</f>
        <v>Start conserved, called 71.4% when present</v>
      </c>
      <c r="D12" s="6"/>
    </row>
    <row r="13" spans="1:4" ht="15.75" customHeight="1" x14ac:dyDescent="0.15">
      <c r="A13" s="5" t="s">
        <v>12</v>
      </c>
      <c r="B13" s="6" t="str">
        <f ca="1">IFERROR(__xludf.DUMMYFUNCTION("""COMPUTED_VALUE"""),"No")</f>
        <v>No</v>
      </c>
      <c r="C13" s="6" t="str">
        <f ca="1">IFERROR(__xludf.DUMMYFUNCTION("""COMPUTED_VALUE"""),"no start change")</f>
        <v>no start change</v>
      </c>
      <c r="D13" s="6"/>
    </row>
    <row r="14" spans="1:4" ht="15.75" customHeight="1" x14ac:dyDescent="0.15">
      <c r="A14" s="5" t="s">
        <v>13</v>
      </c>
      <c r="B14" s="6" t="str">
        <f ca="1">IFERROR(__xludf.DUMMYFUNCTION("""COMPUTED_VALUE"""),"GoodLuckBabe_Draft_55, 0.0   
Guinevere_Draft_56, 0.0  
Nandita_54, e-136 ")</f>
        <v xml:space="preserve">GoodLuckBabe_Draft_55, 0.0   
Guinevere_Draft_56, 0.0  
Nandita_54, e-136 </v>
      </c>
      <c r="C14" s="6" t="str">
        <f ca="1">IFERROR(__xludf.DUMMYFUNCTION("""COMPUTED_VALUE"""),"Gusanita_53:e-136")</f>
        <v>Gusanita_53:e-136</v>
      </c>
      <c r="D14" s="6"/>
    </row>
    <row r="15" spans="1:4" ht="15.75" customHeight="1" x14ac:dyDescent="0.15">
      <c r="A15" s="5" t="s">
        <v>14</v>
      </c>
      <c r="B15" s="6" t="str">
        <f ca="1">IFERROR(__xludf.DUMMYFUNCTION("""COMPUTED_VALUE""")," GoodLuckBabe_Draft and Guinevere_Draft_56: function unknown
 Nandita: DNA polymerase III sliding clamp beta")</f>
        <v xml:space="preserve"> GoodLuckBabe_Draft and Guinevere_Draft_56: function unknown
 Nandita: DNA polymerase III sliding clamp beta</v>
      </c>
      <c r="C15" s="6" t="str">
        <f ca="1">IFERROR(__xludf.DUMMYFUNCTION("""COMPUTED_VALUE"""),"Gusanita_53: DNA polymerase III sliding clamp beta")</f>
        <v>Gusanita_53: DNA polymerase III sliding clamp beta</v>
      </c>
      <c r="D15" s="6"/>
    </row>
    <row r="16" spans="1:4" ht="15.75" customHeight="1" x14ac:dyDescent="0.15">
      <c r="A16" s="5" t="s">
        <v>15</v>
      </c>
      <c r="B16" s="6" t="str">
        <f ca="1">IFERROR(__xludf.DUMMYFUNCTION("""COMPUTED_VALUE"""),"Good but some gene in are missing in the surrounding area.")</f>
        <v>Good but some gene in are missing in the surrounding area.</v>
      </c>
      <c r="C16" s="6" t="str">
        <f ca="1">IFERROR(__xludf.DUMMYFUNCTION("""COMPUTED_VALUE"""),"Found in the same genetic environment as Nandita_54")</f>
        <v>Found in the same genetic environment as Nandita_54</v>
      </c>
      <c r="D16" s="6"/>
    </row>
    <row r="17" spans="1:4" ht="15.75" customHeight="1" x14ac:dyDescent="0.15">
      <c r="A17" s="5" t="s">
        <v>16</v>
      </c>
      <c r="B17" s="6" t="str">
        <f ca="1">IFERROR(__xludf.DUMMYFUNCTION("""COMPUTED_VALUE"""),"3T0P_A DNA polymerase III, beta subunit; DNA clamp, Structural Genomics, Joint Center for Structural Genomics, JCSG, Protein Structure Initiative, PSI-BIOLOGY, TRANSFERASE; HET: EDO, PGR, MSE, ACT; 2.26A {Eubacterium rectale}
Probability: 99.72%
Query: 52"&amp;"%
Target: 50%
Yes the function domain is in the target part of the alignment.")</f>
        <v>3T0P_A DNA polymerase III, beta subunit; DNA clamp, Structural Genomics, Joint Center for Structural Genomics, JCSG, Protein Structure Initiative, PSI-BIOLOGY, TRANSFERASE; HET: EDO, PGR, MSE, ACT; 2.26A {Eubacterium rectale}
Probability: 99.72%
Query: 52%
Target: 50%
Yes the function domain is in the target part of the alignment.</v>
      </c>
      <c r="C17" s="6" t="str">
        <f ca="1">IFERROR(__xludf.DUMMYFUNCTION("""COMPUTED_VALUE"""),"DNA Polymerase III sliding Clamp Beta; Prob: 99.72%; %Q: 51%; %T: 49%")</f>
        <v>DNA Polymerase III sliding Clamp Beta; Prob: 99.72%; %Q: 51%; %T: 49%</v>
      </c>
      <c r="D17" s="6"/>
    </row>
    <row r="18" spans="1:4" ht="15.75" customHeight="1" x14ac:dyDescent="0.15">
      <c r="A18" s="5" t="s">
        <v>17</v>
      </c>
      <c r="B18" s="6" t="str">
        <f ca="1">IFERROR(__xludf.DUMMYFUNCTION("""COMPUTED_VALUE"""),"DNA segregation ATPase FtsK/SpoIIIE and related proteins [Cell division and chromosome partitioning].
Protein Alignment Data:
Query Start (Amino Acid Position): 275
Query End (Amino Acid Position): 336
E-Value: 1.87799e-10")</f>
        <v>DNA segregation ATPase FtsK/SpoIIIE and related proteins [Cell division and chromosome partitioning].
Protein Alignment Data:
Query Start (Amino Acid Position): 275
Query End (Amino Acid Position): 336
E-Value: 1.87799e-10</v>
      </c>
      <c r="C18" s="6" t="str">
        <f ca="1">IFERROR(__xludf.DUMMYFUNCTION("""COMPUTED_VALUE"""),"Conserved domain identified")</f>
        <v>Conserved domain identified</v>
      </c>
      <c r="D18" s="6"/>
    </row>
    <row r="19" spans="1:4" ht="15.75" customHeight="1" x14ac:dyDescent="0.15">
      <c r="A19" s="5" t="s">
        <v>18</v>
      </c>
      <c r="B19" s="6" t="str">
        <f ca="1">IFERROR(__xludf.DUMMYFUNCTION("""COMPUTED_VALUE"""),"None")</f>
        <v>None</v>
      </c>
      <c r="C19" s="6" t="str">
        <f ca="1">IFERROR(__xludf.DUMMYFUNCTION("""COMPUTED_VALUE"""),"not a membrane protien, most likely inside the membrane")</f>
        <v>not a membrane protien, most likely inside the membrane</v>
      </c>
      <c r="D19" s="6"/>
    </row>
    <row r="20" spans="1:4" ht="15.75" customHeight="1" x14ac:dyDescent="0.15">
      <c r="A20" s="5" t="s">
        <v>19</v>
      </c>
      <c r="B20" s="6" t="str">
        <f ca="1">IFERROR(__xludf.DUMMYFUNCTION("""COMPUTED_VALUE"""),"DNA polymerase III sliding clamp (Beta)
This is the function for this gene there are many HHpred matches for this and it is very closely related to Nandita.")</f>
        <v>DNA polymerase III sliding clamp (Beta)
This is the function for this gene there are many HHpred matches for this and it is very closely related to Nandita.</v>
      </c>
      <c r="C20" s="6" t="str">
        <f ca="1">IFERROR(__xludf.DUMMYFUNCTION("""COMPUTED_VALUE"""),"DNA polymerase III sliding clamp (Beta): all the hits were in cordination with the call")</f>
        <v>DNA polymerase III sliding clamp (Beta): all the hits were in cordination with the call</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IFERROR(__xludf.DUMMYFUNCTION("IMPORTRANGE(""https://docs.google.com/spreadsheets/d/14y37YetMnZx9r75GG6HNm6HxdMfX_704WhJDUt8FSgU"", ""S56!B1:B22"")"),"Braden Brennan")</f>
        <v>Braden Brennan</v>
      </c>
      <c r="C1" s="11" t="str">
        <f ca="1">IFERROR(__xludf.DUMMYFUNCTION("IMPORTRANGE(""https://docs.google.com/spreadsheets/d/1xJbcWhjJwppoDUCHCotLHO1vyy_ugWR-w2T_Z5J7WD4"", ""S56!B1:B22"")"),"Rin Godfrey")</f>
        <v>Rin Godfrey</v>
      </c>
      <c r="D1" s="2" t="s">
        <v>0</v>
      </c>
    </row>
    <row r="2" spans="1:4" ht="15.75" customHeight="1" x14ac:dyDescent="0.15">
      <c r="A2" s="3" t="s">
        <v>1</v>
      </c>
      <c r="B2" s="4" t="str">
        <f ca="1">IFERROR(__xludf.DUMMYFUNCTION("""COMPUTED_VALUE"""),"37735 - 37950 forward")</f>
        <v>37735 - 37950 forward</v>
      </c>
      <c r="C2" s="4" t="str">
        <f ca="1">IFERROR(__xludf.DUMMYFUNCTION("""COMPUTED_VALUE"""),"37735 - 37950 FOR")</f>
        <v>37735 - 37950 FOR</v>
      </c>
      <c r="D2" s="4"/>
    </row>
    <row r="3" spans="1:4" ht="15.75" customHeight="1" x14ac:dyDescent="0.15">
      <c r="A3" s="5" t="s">
        <v>2</v>
      </c>
      <c r="B3" s="6" t="str">
        <f ca="1">IFERROR(__xludf.DUMMYFUNCTION("""COMPUTED_VALUE"""),"PHAM: 56    DNAM: 54")</f>
        <v>PHAM: 56    DNAM: 54</v>
      </c>
      <c r="C3" s="6" t="str">
        <f ca="1">IFERROR(__xludf.DUMMYFUNCTION("""COMPUTED_VALUE"""),"DNA Master: 54
Phamerator: 56")</f>
        <v>DNA Master: 54
Phamerator: 56</v>
      </c>
      <c r="D3" s="6"/>
    </row>
    <row r="4" spans="1:4" ht="15.75" customHeight="1" x14ac:dyDescent="0.15">
      <c r="A4" s="5" t="s">
        <v>3</v>
      </c>
      <c r="B4" s="6" t="str">
        <f ca="1">IFERROR(__xludf.DUMMYFUNCTION("""COMPUTED_VALUE"""),"pham 28014     4/7/2025")</f>
        <v>pham 28014     4/7/2025</v>
      </c>
      <c r="C4" s="6" t="str">
        <f ca="1">IFERROR(__xludf.DUMMYFUNCTION("""COMPUTED_VALUE"""),"28014 4/11/25")</f>
        <v>28014 4/11/25</v>
      </c>
      <c r="D4" s="6"/>
    </row>
    <row r="5" spans="1:4" ht="15.75" customHeight="1" x14ac:dyDescent="0.15">
      <c r="A5" s="5" t="s">
        <v>4</v>
      </c>
      <c r="B5" s="6"/>
      <c r="C5" s="6" t="str">
        <f ca="1">IFERROR(__xludf.DUMMYFUNCTION("""COMPUTED_VALUE"""),"Nandita_56, GoodLuckBabe_56")</f>
        <v>Nandita_56, GoodLuckBabe_56</v>
      </c>
      <c r="D5" s="6"/>
    </row>
    <row r="6" spans="1:4" ht="15.75" customHeight="1" x14ac:dyDescent="0.15">
      <c r="A6" s="5" t="s">
        <v>5</v>
      </c>
      <c r="B6" s="6" t="str">
        <f ca="1">IFERROR(__xludf.DUMMYFUNCTION("""COMPUTED_VALUE"""),"Original Glimmer call @bp 37735 has strength 8.95")</f>
        <v>Original Glimmer call @bp 37735 has strength 8.95</v>
      </c>
      <c r="C6" s="6" t="str">
        <f ca="1">IFERROR(__xludf.DUMMYFUNCTION("""COMPUTED_VALUE"""),"Both at 37735")</f>
        <v>Both at 37735</v>
      </c>
      <c r="D6" s="6"/>
    </row>
    <row r="7" spans="1:4" ht="15.75" customHeight="1" x14ac:dyDescent="0.15">
      <c r="A7" s="5" t="s">
        <v>6</v>
      </c>
      <c r="B7" s="6" t="str">
        <f ca="1">IFERROR(__xludf.DUMMYFUNCTION("""COMPUTED_VALUE"""),"Great coding potential")</f>
        <v>Great coding potential</v>
      </c>
      <c r="C7" s="6" t="str">
        <f ca="1">IFERROR(__xludf.DUMMYFUNCTION("""COMPUTED_VALUE"""),"Look very good")</f>
        <v>Look very good</v>
      </c>
      <c r="D7" s="6"/>
    </row>
    <row r="8" spans="1:4" ht="15.75" customHeight="1" x14ac:dyDescent="0.15">
      <c r="A8" s="5" t="s">
        <v>7</v>
      </c>
      <c r="B8" s="6" t="str">
        <f ca="1">IFERROR(__xludf.DUMMYFUNCTION("""COMPUTED_VALUE"""),"Longest possible ORF")</f>
        <v>Longest possible ORF</v>
      </c>
      <c r="C8" s="6" t="str">
        <f ca="1">IFERROR(__xludf.DUMMYFUNCTION("""COMPUTED_VALUE"""),"This is the longest")</f>
        <v>This is the longest</v>
      </c>
      <c r="D8" s="6"/>
    </row>
    <row r="9" spans="1:4" ht="15.75" customHeight="1" x14ac:dyDescent="0.15">
      <c r="A9" s="5" t="s">
        <v>8</v>
      </c>
      <c r="B9" s="6" t="str">
        <f ca="1">IFERROR(__xludf.DUMMYFUNCTION("""COMPUTED_VALUE"""),"Overlap of 3 genes")</f>
        <v>Overlap of 3 genes</v>
      </c>
      <c r="C9" s="6" t="str">
        <f ca="1">IFERROR(__xludf.DUMMYFUNCTION("""COMPUTED_VALUE"""),"Overlap of 3 nucleotide")</f>
        <v>Overlap of 3 nucleotide</v>
      </c>
      <c r="D9" s="6"/>
    </row>
    <row r="10" spans="1:4" ht="15.75" customHeight="1" x14ac:dyDescent="0.15">
      <c r="A10" s="5" t="s">
        <v>9</v>
      </c>
      <c r="B10" s="6" t="str">
        <f ca="1">IFERROR(__xludf.DUMMYFUNCTION("""COMPUTED_VALUE"""),"SD:-3.560) Z: 2.152) FINAL: 4.519")</f>
        <v>SD:-3.560) Z: 2.152) FINAL: 4.519</v>
      </c>
      <c r="C10" s="6" t="str">
        <f ca="1">IFERROR(__xludf.DUMMYFUNCTION("""COMPUTED_VALUE"""),"Z-score: 2.140, F-score: -4.310")</f>
        <v>Z-score: 2.140, F-score: -4.310</v>
      </c>
      <c r="D10" s="6"/>
    </row>
    <row r="11" spans="1:4" ht="15.75" customHeight="1" x14ac:dyDescent="0.15">
      <c r="A11" s="5" t="s">
        <v>10</v>
      </c>
      <c r="B11" s="6" t="str">
        <f ca="1">IFERROR(__xludf.DUMMYFUNCTION("""COMPUTED_VALUE"""),"hypothetical protein- QUINNAVERY_57 - 88.7324 - 1.30491e-37")</f>
        <v>hypothetical protein- QUINNAVERY_57 - 88.7324 - 1.30491e-37</v>
      </c>
      <c r="C11" s="6" t="str">
        <f ca="1">IFERROR(__xludf.DUMMYFUNCTION("""COMPUTED_VALUE"""),"QuinnAvery_57
88.73% identity, 1e-37
q: 1-71 , t: 1-71")</f>
        <v>QuinnAvery_57
88.73% identity, 1e-37
q: 1-71 , t: 1-71</v>
      </c>
      <c r="D11" s="6"/>
    </row>
    <row r="12" spans="1:4" ht="15.75" customHeight="1" x14ac:dyDescent="0.15">
      <c r="A12" s="5" t="s">
        <v>11</v>
      </c>
      <c r="B12" s="6" t="str">
        <f ca="1">IFERROR(__xludf.DUMMYFUNCTION("""COMPUTED_VALUE"""),"Found in 20 of 21 (95.2%) called 100% of the time ")</f>
        <v xml:space="preserve">Found in 20 of 21 (95.2%) called 100% of the time </v>
      </c>
      <c r="C12" s="6" t="str">
        <f ca="1">IFERROR(__xludf.DUMMYFUNCTION("""COMPUTED_VALUE"""),"Found in 20 of 21 ( 95.2% ) of genes in pham
Called 100.0% of time when present
")</f>
        <v xml:space="preserve">Found in 20 of 21 ( 95.2% ) of genes in pham
Called 100.0% of time when present
</v>
      </c>
      <c r="D12" s="6"/>
    </row>
    <row r="13" spans="1:4" ht="15.75" customHeight="1" x14ac:dyDescent="0.15">
      <c r="A13" s="5" t="s">
        <v>12</v>
      </c>
      <c r="B13" s="6" t="str">
        <f ca="1">IFERROR(__xludf.DUMMYFUNCTION("""COMPUTED_VALUE"""),"No the start match much better here")</f>
        <v>No the start match much better here</v>
      </c>
      <c r="C13" s="6" t="str">
        <f ca="1">IFERROR(__xludf.DUMMYFUNCTION("""COMPUTED_VALUE"""),"No")</f>
        <v>No</v>
      </c>
      <c r="D13" s="6"/>
    </row>
    <row r="14" spans="1:4" ht="15.75" customHeight="1" x14ac:dyDescent="0.15">
      <c r="A14" s="5" t="s">
        <v>13</v>
      </c>
      <c r="B14" s="6" t="str">
        <f ca="1">IFERROR(__xludf.DUMMYFUNCTION("""COMPUTED_VALUE"""),"AllBusiness_52 - CocoCinnamon_51 - Cole_52	 - Donatella_55
Elesar_49 - GoodLuckBabe_56")</f>
        <v>AllBusiness_52 - CocoCinnamon_51 - Cole_52	 - Donatella_55
Elesar_49 - GoodLuckBabe_56</v>
      </c>
      <c r="C14" s="6" t="str">
        <f ca="1">IFERROR(__xludf.DUMMYFUNCTION("""COMPUTED_VALUE"""),"GoodLuckBabe_Draft_56, 7e-32 
Guinevere_Draft_57, 9e-32 ")</f>
        <v xml:space="preserve">GoodLuckBabe_Draft_56, 7e-32 
Guinevere_Draft_57, 9e-32 </v>
      </c>
      <c r="D14" s="6"/>
    </row>
    <row r="15" spans="1:4" ht="15.75" customHeight="1" x14ac:dyDescent="0.15">
      <c r="A15" s="5" t="s">
        <v>14</v>
      </c>
      <c r="B15" s="6" t="str">
        <f ca="1">IFERROR(__xludf.DUMMYFUNCTION("""COMPUTED_VALUE"""),"No function listed on phages db")</f>
        <v>No function listed on phages db</v>
      </c>
      <c r="C15" s="6" t="str">
        <f ca="1">IFERROR(__xludf.DUMMYFUNCTION("""COMPUTED_VALUE"""),"function unknown")</f>
        <v>function unknown</v>
      </c>
      <c r="D15" s="6"/>
    </row>
    <row r="16" spans="1:4" ht="15.75" customHeight="1" x14ac:dyDescent="0.15">
      <c r="A16" s="5" t="s">
        <v>15</v>
      </c>
      <c r="B16" s="6" t="str">
        <f ca="1">IFERROR(__xludf.DUMMYFUNCTION("""COMPUTED_VALUE"""),"Fits into the sequence well")</f>
        <v>Fits into the sequence well</v>
      </c>
      <c r="C16" s="6" t="str">
        <f ca="1">IFERROR(__xludf.DUMMYFUNCTION("""COMPUTED_VALUE"""),"It is very good")</f>
        <v>It is very good</v>
      </c>
      <c r="D16" s="6"/>
    </row>
    <row r="17" spans="1:4" ht="15.75" customHeight="1" x14ac:dyDescent="0.15">
      <c r="A17" s="5" t="s">
        <v>16</v>
      </c>
      <c r="B17" s="6" t="str">
        <f ca="1">IFERROR(__xludf.DUMMYFUNCTION("""COMPUTED_VALUE"""),"eIF1_SUI1_like; Eukaryotic initiation factor 1, 80.3% probability, Q:63.38%, T: 41.46%")</f>
        <v>eIF1_SUI1_like; Eukaryotic initiation factor 1, 80.3% probability, Q:63.38%, T: 41.46%</v>
      </c>
      <c r="C17" s="6" t="str">
        <f ca="1">IFERROR(__xludf.DUMMYFUNCTION("""COMPUTED_VALUE"""),"7AHW_AAA Uncharacterized protein; ferredoxin-like, zinc-binding, periplasmic, METAL BINDING PROTEIN; 1.952A {Pseudomonas aeruginosa PAO1}
Probability: 70.07%
Query: 63%
Target: 25%
There is not functional domain")</f>
        <v>7AHW_AAA Uncharacterized protein; ferredoxin-like, zinc-binding, periplasmic, METAL BINDING PROTEIN; 1.952A {Pseudomonas aeruginosa PAO1}
Probability: 70.07%
Query: 63%
Target: 25%
There is not functional domain</v>
      </c>
      <c r="D17" s="6"/>
    </row>
    <row r="18" spans="1:4" ht="15.75" customHeight="1" x14ac:dyDescent="0.15">
      <c r="A18" s="5" t="s">
        <v>17</v>
      </c>
      <c r="B18" s="6" t="str">
        <f ca="1">IFERROR(__xludf.DUMMYFUNCTION("""COMPUTED_VALUE"""),"No conserve domain listed")</f>
        <v>No conserve domain listed</v>
      </c>
      <c r="C18" s="6" t="str">
        <f ca="1">IFERROR(__xludf.DUMMYFUNCTION("""COMPUTED_VALUE"""),"none")</f>
        <v>none</v>
      </c>
      <c r="D18" s="6"/>
    </row>
    <row r="19" spans="1:4" ht="15.75" customHeight="1" x14ac:dyDescent="0.15">
      <c r="A19" s="5" t="s">
        <v>18</v>
      </c>
      <c r="B19" s="6" t="str">
        <f ca="1">IFERROR(__xludf.DUMMYFUNCTION("""COMPUTED_VALUE"""),"Interior with a probability of 1")</f>
        <v>Interior with a probability of 1</v>
      </c>
      <c r="C19" s="6" t="str">
        <f ca="1">IFERROR(__xludf.DUMMYFUNCTION("""COMPUTED_VALUE"""),"none")</f>
        <v>none</v>
      </c>
      <c r="D19" s="6"/>
    </row>
    <row r="20" spans="1:4" ht="15.75" customHeight="1" x14ac:dyDescent="0.15">
      <c r="A20" s="5" t="s">
        <v>19</v>
      </c>
      <c r="B20" s="6" t="str">
        <f ca="1">IFERROR(__xludf.DUMMYFUNCTION("""COMPUTED_VALUE"""),"Most-likley a Hypothetical protein")</f>
        <v>Most-likley a Hypothetical protein</v>
      </c>
      <c r="C20" s="6" t="str">
        <f ca="1">IFERROR(__xludf.DUMMYFUNCTION("""COMPUTED_VALUE"""),"Unknown Function. There is no evidence to find a function for this gene")</f>
        <v>Unknown Function. There is no evidence to find a function for this gene</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IFERROR(__xludf.DUMMYFUNCTION("IMPORTRANGE(""https://docs.google.com/spreadsheets/d/14y37YetMnZx9r75GG6HNm6HxdMfX_704WhJDUt8FSgU"", ""S57!B1:B22"")"),"Braden Brennan")</f>
        <v>Braden Brennan</v>
      </c>
      <c r="C1" s="10" t="str">
        <f ca="1">IFERROR(__xludf.DUMMYFUNCTION("IMPORTRANGE(""https://docs.google.com/spreadsheets/d/1K_SrfyQXDNcl5UVETvGMAvEDUHr5HCmSgfuNiyo2M-k"", ""S57!B1:B22"")"),"Korie Hall")</f>
        <v>Korie Hall</v>
      </c>
      <c r="D1" s="2" t="s">
        <v>0</v>
      </c>
    </row>
    <row r="2" spans="1:4" ht="15.75" customHeight="1" x14ac:dyDescent="0.15">
      <c r="A2" s="3" t="s">
        <v>1</v>
      </c>
      <c r="B2" s="4" t="str">
        <f ca="1">IFERROR(__xludf.DUMMYFUNCTION("""COMPUTED_VALUE"""),"37947 - 38141 forward")</f>
        <v>37947 - 38141 forward</v>
      </c>
      <c r="C2" s="4" t="str">
        <f ca="1">IFERROR(__xludf.DUMMYFUNCTION("""COMPUTED_VALUE"""),"Start: 37947 /Stop: 38141")</f>
        <v>Start: 37947 /Stop: 38141</v>
      </c>
      <c r="D2" s="4"/>
    </row>
    <row r="3" spans="1:4" ht="15.75" customHeight="1" x14ac:dyDescent="0.15">
      <c r="A3" s="5" t="s">
        <v>2</v>
      </c>
      <c r="B3" s="6" t="str">
        <f ca="1">IFERROR(__xludf.DUMMYFUNCTION("""COMPUTED_VALUE"""),"PHAM: 57   DNAM: 55")</f>
        <v>PHAM: 57   DNAM: 55</v>
      </c>
      <c r="C3" s="6" t="str">
        <f ca="1">IFERROR(__xludf.DUMMYFUNCTION("""COMPUTED_VALUE"""),"DNA Master: Gene 55 / Phamerator: Gene 57")</f>
        <v>DNA Master: Gene 55 / Phamerator: Gene 57</v>
      </c>
      <c r="D3" s="6"/>
    </row>
    <row r="4" spans="1:4" ht="15.75" customHeight="1" x14ac:dyDescent="0.15">
      <c r="A4" s="5" t="s">
        <v>3</v>
      </c>
      <c r="B4" s="6" t="str">
        <f ca="1">IFERROR(__xludf.DUMMYFUNCTION("""COMPUTED_VALUE"""),"pham 86312 - 4/10/2025")</f>
        <v>pham 86312 - 4/10/2025</v>
      </c>
      <c r="C4" s="6">
        <f ca="1">IFERROR(__xludf.DUMMYFUNCTION("""COMPUTED_VALUE"""),86312)</f>
        <v>86312</v>
      </c>
      <c r="D4" s="6"/>
    </row>
    <row r="5" spans="1:4" ht="15.75" customHeight="1" x14ac:dyDescent="0.15">
      <c r="A5" s="5" t="s">
        <v>4</v>
      </c>
      <c r="B5" s="6"/>
      <c r="C5" s="6" t="str">
        <f ca="1">IFERROR(__xludf.DUMMYFUNCTION("""COMPUTED_VALUE"""),"Nandita_57")</f>
        <v>Nandita_57</v>
      </c>
      <c r="D5" s="6"/>
    </row>
    <row r="6" spans="1:4" ht="15.75" customHeight="1" x14ac:dyDescent="0.15">
      <c r="A6" s="5" t="s">
        <v>5</v>
      </c>
      <c r="B6" s="6" t="str">
        <f ca="1">IFERROR(__xludf.DUMMYFUNCTION("""COMPUTED_VALUE"""),"Original Glimmer call @bp 37947 has strength 9.97")</f>
        <v>Original Glimmer call @bp 37947 has strength 9.97</v>
      </c>
      <c r="C6" s="6" t="str">
        <f ca="1">IFERROR(__xludf.DUMMYFUNCTION("""COMPUTED_VALUE"""),"Glimmer and GeneMark call @37947")</f>
        <v>Glimmer and GeneMark call @37947</v>
      </c>
      <c r="D6" s="6"/>
    </row>
    <row r="7" spans="1:4" ht="15.75" customHeight="1" x14ac:dyDescent="0.15">
      <c r="A7" s="5" t="s">
        <v>6</v>
      </c>
      <c r="B7" s="6" t="str">
        <f ca="1">IFERROR(__xludf.DUMMYFUNCTION("""COMPUTED_VALUE"""),"Great coding potential")</f>
        <v>Great coding potential</v>
      </c>
      <c r="C7" s="6" t="str">
        <f ca="1">IFERROR(__xludf.DUMMYFUNCTION("""COMPUTED_VALUE"""),"Gene has good coding potential and start codon catches it all")</f>
        <v>Gene has good coding potential and start codon catches it all</v>
      </c>
      <c r="D7" s="6"/>
    </row>
    <row r="8" spans="1:4" ht="15.75" customHeight="1" x14ac:dyDescent="0.15">
      <c r="A8" s="5" t="s">
        <v>7</v>
      </c>
      <c r="B8" s="6" t="str">
        <f ca="1">IFERROR(__xludf.DUMMYFUNCTION("""COMPUTED_VALUE"""),"longest possible open reading frames")</f>
        <v>longest possible open reading frames</v>
      </c>
      <c r="C8" s="6" t="str">
        <f ca="1">IFERROR(__xludf.DUMMYFUNCTION("""COMPUTED_VALUE"""),"No other possible start")</f>
        <v>No other possible start</v>
      </c>
      <c r="D8" s="6"/>
    </row>
    <row r="9" spans="1:4" ht="15.75" customHeight="1" x14ac:dyDescent="0.15">
      <c r="A9" s="5" t="s">
        <v>8</v>
      </c>
      <c r="B9" s="6" t="str">
        <f ca="1">IFERROR(__xludf.DUMMYFUNCTION("""COMPUTED_VALUE"""),"Three nucleotide overlap")</f>
        <v>Three nucleotide overlap</v>
      </c>
      <c r="C9" s="6" t="str">
        <f ca="1">IFERROR(__xludf.DUMMYFUNCTION("""COMPUTED_VALUE"""),"3 bp overlap with Gene 56")</f>
        <v>3 bp overlap with Gene 56</v>
      </c>
      <c r="D9" s="6"/>
    </row>
    <row r="10" spans="1:4" ht="15.75" customHeight="1" x14ac:dyDescent="0.15">
      <c r="A10" s="5" t="s">
        <v>9</v>
      </c>
      <c r="B10" s="6" t="str">
        <f ca="1">IFERROR(__xludf.DUMMYFUNCTION("""COMPUTED_VALUE"""),"SD: -2.525, Z: 2.461, FINAL: -3.484")</f>
        <v>SD: -2.525, Z: 2.461, FINAL: -3.484</v>
      </c>
      <c r="C10" s="6" t="str">
        <f ca="1">IFERROR(__xludf.DUMMYFUNCTION("""COMPUTED_VALUE"""),"Z-score: 2.932 / Final score: -2.708")</f>
        <v>Z-score: 2.932 / Final score: -2.708</v>
      </c>
      <c r="D10" s="6"/>
    </row>
    <row r="11" spans="1:4" ht="15.75" customHeight="1" x14ac:dyDescent="0.15">
      <c r="A11" s="5" t="s">
        <v>10</v>
      </c>
      <c r="B11" s="6" t="str">
        <f ca="1">IFERROR(__xludf.DUMMYFUNCTION("""COMPUTED_VALUE"""),"hypothetical protein, Phage Zaheer_58, 95.31% identity, 2.58311e-38")</f>
        <v>hypothetical protein, Phage Zaheer_58, 95.31% identity, 2.58311e-38</v>
      </c>
      <c r="C11" s="6" t="str">
        <f ca="1">IFERROR(__xludf.DUMMYFUNCTION("""COMPUTED_VALUE"""),"Zaheer_58 - % identity: 95.3% / e-value: 3e-58 / q1:s1   Nandita_58 - % identity: 66.7% / e-value: 2e-20 / q1:s1 ")</f>
        <v xml:space="preserve">Zaheer_58 - % identity: 95.3% / e-value: 3e-58 / q1:s1   Nandita_58 - % identity: 66.7% / e-value: 2e-20 / q1:s1 </v>
      </c>
      <c r="D11" s="6"/>
    </row>
    <row r="12" spans="1:4" ht="15.75" customHeight="1" x14ac:dyDescent="0.15">
      <c r="A12" s="5" t="s">
        <v>11</v>
      </c>
      <c r="B12" s="6" t="str">
        <f ca="1">IFERROR(__xludf.DUMMYFUNCTION("""COMPUTED_VALUE"""),"Found in 22 of 63 ( 34.9% ) of genes in pham called 100% of the time")</f>
        <v>Found in 22 of 63 ( 34.9% ) of genes in pham called 100% of the time</v>
      </c>
      <c r="C12" s="6" t="str">
        <f ca="1">IFERROR(__xludf.DUMMYFUNCTION("""COMPUTED_VALUE"""),"Found in 22 of 63 members in the pham / Called 100% of the time  ")</f>
        <v xml:space="preserve">Found in 22 of 63 members in the pham / Called 100% of the time  </v>
      </c>
      <c r="D12" s="6"/>
    </row>
    <row r="13" spans="1:4" ht="15.75" customHeight="1" x14ac:dyDescent="0.15">
      <c r="A13" s="5" t="s">
        <v>12</v>
      </c>
      <c r="B13" s="6" t="str">
        <f ca="1">IFERROR(__xludf.DUMMYFUNCTION("""COMPUTED_VALUE"""),"No it would have too great of an overlap even if we could")</f>
        <v>No it would have too great of an overlap even if we could</v>
      </c>
      <c r="C13" s="6" t="str">
        <f ca="1">IFERROR(__xludf.DUMMYFUNCTION("""COMPUTED_VALUE"""),"Start should remain. No other possible ORF")</f>
        <v>Start should remain. No other possible ORF</v>
      </c>
      <c r="D13" s="6"/>
    </row>
    <row r="14" spans="1:4" ht="15.75" customHeight="1" x14ac:dyDescent="0.15">
      <c r="A14" s="5" t="s">
        <v>13</v>
      </c>
      <c r="B14" s="6" t="str">
        <f ca="1">IFERROR(__xludf.DUMMYFUNCTION("""COMPUTED_VALUE"""),"AbbyDaisy_63 - AdaS_61 - Aikyam_62 - AllBusiness_53 - Altostratus_33 - Anekin_65")</f>
        <v>AbbyDaisy_63 - AdaS_61 - Aikyam_62 - AllBusiness_53 - Altostratus_33 - Anekin_65</v>
      </c>
      <c r="C14" s="6" t="str">
        <f ca="1">IFERROR(__xludf.DUMMYFUNCTION("""COMPUTED_VALUE"""),"Donatella_56 - e-value:2e-32  / Nandita_57 - e-value: 8e-17")</f>
        <v>Donatella_56 - e-value:2e-32  / Nandita_57 - e-value: 8e-17</v>
      </c>
      <c r="D14" s="6"/>
    </row>
    <row r="15" spans="1:4" ht="15.75" customHeight="1" x14ac:dyDescent="0.15">
      <c r="A15" s="5" t="s">
        <v>14</v>
      </c>
      <c r="B15" s="6" t="str">
        <f ca="1">IFERROR(__xludf.DUMMYFUNCTION("""COMPUTED_VALUE"""),"No function listed")</f>
        <v>No function listed</v>
      </c>
      <c r="C15" s="6" t="str">
        <f ca="1">IFERROR(__xludf.DUMMYFUNCTION("""COMPUTED_VALUE"""),"Function Unknown ")</f>
        <v xml:space="preserve">Function Unknown </v>
      </c>
      <c r="D15" s="6"/>
    </row>
    <row r="16" spans="1:4" ht="15.75" customHeight="1" x14ac:dyDescent="0.15">
      <c r="A16" s="5" t="s">
        <v>15</v>
      </c>
      <c r="B16" s="6" t="str">
        <f ca="1">IFERROR(__xludf.DUMMYFUNCTION("""COMPUTED_VALUE"""),"Fits well with other nearby genes and seems to be a normal gene")</f>
        <v>Fits well with other nearby genes and seems to be a normal gene</v>
      </c>
      <c r="C16" s="6" t="str">
        <f ca="1">IFERROR(__xludf.DUMMYFUNCTION("""COMPUTED_VALUE"""),"Function is to be as expected / adjacent to Nandita_57")</f>
        <v>Function is to be as expected / adjacent to Nandita_57</v>
      </c>
      <c r="D16" s="6"/>
    </row>
    <row r="17" spans="1:4" ht="15.75" customHeight="1" x14ac:dyDescent="0.15">
      <c r="A17" s="5" t="s">
        <v>16</v>
      </c>
      <c r="B17" s="6" t="str">
        <f ca="1">IFERROR(__xludf.DUMMYFUNCTION("""COMPUTED_VALUE""")," Conserved nitrate reductase-associated protein - 84.1% probability, Q: 28.13%, T: 12.5% Or DUF3106 ; Protein of unknown function - 83.1% probability, Q: 48.44%, T: 30.69%")</f>
        <v xml:space="preserve"> Conserved nitrate reductase-associated protein - 84.1% probability, Q: 28.13%, T: 12.5% Or DUF3106 ; Protein of unknown function - 83.1% probability, Q: 48.44%, T: 30.69%</v>
      </c>
      <c r="C17" s="6" t="str">
        <f ca="1">IFERROR(__xludf.DUMMYFUNCTION("""COMPUTED_VALUE"""),"There were no reliable hits to provide further solid evidence about the gene.")</f>
        <v>There were no reliable hits to provide further solid evidence about the gene.</v>
      </c>
      <c r="D17" s="6"/>
    </row>
    <row r="18" spans="1:4" ht="15.75" customHeight="1" x14ac:dyDescent="0.15">
      <c r="A18" s="5" t="s">
        <v>17</v>
      </c>
      <c r="B18" s="6" t="str">
        <f ca="1">IFERROR(__xludf.DUMMYFUNCTION("""COMPUTED_VALUE"""),"No conserve domains listed")</f>
        <v>No conserve domains listed</v>
      </c>
      <c r="C18" s="6" t="str">
        <f ca="1">IFERROR(__xludf.DUMMYFUNCTION("""COMPUTED_VALUE"""),"No conserved domain identified")</f>
        <v>No conserved domain identified</v>
      </c>
      <c r="D18" s="6"/>
    </row>
    <row r="19" spans="1:4" ht="15.75" customHeight="1" x14ac:dyDescent="0.15">
      <c r="A19" s="5" t="s">
        <v>18</v>
      </c>
      <c r="B19" s="6" t="str">
        <f ca="1">IFERROR(__xludf.DUMMYFUNCTION("""COMPUTED_VALUE"""),"either a signal or exterior protein ")</f>
        <v xml:space="preserve">either a signal or exterior protein </v>
      </c>
      <c r="C19" s="6" t="str">
        <f ca="1">IFERROR(__xludf.DUMMYFUNCTION("""COMPUTED_VALUE"""),"Signal membrane protein ")</f>
        <v xml:space="preserve">Signal membrane protein </v>
      </c>
      <c r="D19" s="6"/>
    </row>
    <row r="20" spans="1:4" ht="15.75" customHeight="1" x14ac:dyDescent="0.15">
      <c r="A20" s="5" t="s">
        <v>19</v>
      </c>
      <c r="B20" s="6" t="str">
        <f ca="1">IFERROR(__xludf.DUMMYFUNCTION("""COMPUTED_VALUE"""),"Probably A hypothetical protein but HHPred does show many nitrate reductase varients")</f>
        <v>Probably A hypothetical protein but HHPred does show many nitrate reductase varients</v>
      </c>
      <c r="C20" s="6" t="str">
        <f ca="1">IFERROR(__xludf.DUMMYFUNCTION("""COMPUTED_VALUE"""),"Hypothetical Protein / Function Unknown ( Rationale: There is not enough reliable information to provide a concrete function for the gene. Given the rest of the members in the pham are a unknown function--even with the ones having a identified function th"&amp;"e e-values aren't the best--it can be presumed that for now there is a hypothetical protein. ) ")</f>
        <v xml:space="preserve">Hypothetical Protein / Function Unknown ( Rationale: There is not enough reliable information to provide a concrete function for the gene. Given the rest of the members in the pham are a unknown function--even with the ones having a identified function the e-values aren't the best--it can be presumed that for now there is a hypothetical protein. ) </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IFERROR(__xludf.DUMMYFUNCTION("IMPORTRANGE(""https://docs.google.com/spreadsheets/d/14y37YetMnZx9r75GG6HNm6HxdMfX_704WhJDUt8FSgU"", ""S58!B1:B22"")"),"Braden Brennan")</f>
        <v>Braden Brennan</v>
      </c>
      <c r="C1" s="11" t="str">
        <f ca="1">IFERROR(__xludf.DUMMYFUNCTION("IMPORTRANGE(""https://docs.google.com/spreadsheets/d/1xJbcWhjJwppoDUCHCotLHO1vyy_ugWR-w2T_Z5J7WD4"", ""S58!B1:B22"")"),"Rin Godfrey")</f>
        <v>Rin Godfrey</v>
      </c>
      <c r="D1" s="2" t="s">
        <v>0</v>
      </c>
    </row>
    <row r="2" spans="1:4" ht="15.75" customHeight="1" x14ac:dyDescent="0.15">
      <c r="A2" s="3" t="s">
        <v>1</v>
      </c>
      <c r="B2" s="4" t="str">
        <f ca="1">IFERROR(__xludf.DUMMYFUNCTION("""COMPUTED_VALUE"""),"38138 - 38296 forward")</f>
        <v>38138 - 38296 forward</v>
      </c>
      <c r="C2" s="4" t="str">
        <f ca="1">IFERROR(__xludf.DUMMYFUNCTION("""COMPUTED_VALUE"""),"38138 - 38296 FOR")</f>
        <v>38138 - 38296 FOR</v>
      </c>
      <c r="D2" s="4"/>
    </row>
    <row r="3" spans="1:4" ht="15.75" customHeight="1" x14ac:dyDescent="0.15">
      <c r="A3" s="5" t="s">
        <v>2</v>
      </c>
      <c r="B3" s="6" t="str">
        <f ca="1">IFERROR(__xludf.DUMMYFUNCTION("""COMPUTED_VALUE"""),"PHAM: 58 DNAM: 56")</f>
        <v>PHAM: 58 DNAM: 56</v>
      </c>
      <c r="C3" s="6" t="str">
        <f ca="1">IFERROR(__xludf.DUMMYFUNCTION("""COMPUTED_VALUE"""),"DNA Master: 56
Phamerator: 58")</f>
        <v>DNA Master: 56
Phamerator: 58</v>
      </c>
      <c r="D3" s="6"/>
    </row>
    <row r="4" spans="1:4" ht="15.75" customHeight="1" x14ac:dyDescent="0.15">
      <c r="A4" s="5" t="s">
        <v>3</v>
      </c>
      <c r="B4" s="6" t="str">
        <f ca="1">IFERROR(__xludf.DUMMYFUNCTION("""COMPUTED_VALUE"""),"pham 198218 - 4/10/2025")</f>
        <v>pham 198218 - 4/10/2025</v>
      </c>
      <c r="C4" s="6" t="str">
        <f ca="1">IFERROR(__xludf.DUMMYFUNCTION("""COMPUTED_VALUE"""),"198218 4/11/25")</f>
        <v>198218 4/11/25</v>
      </c>
      <c r="D4" s="6"/>
    </row>
    <row r="5" spans="1:4" ht="15.75" customHeight="1" x14ac:dyDescent="0.15">
      <c r="A5" s="5" t="s">
        <v>4</v>
      </c>
      <c r="B5" s="6"/>
      <c r="C5" s="6" t="str">
        <f ca="1">IFERROR(__xludf.DUMMYFUNCTION("""COMPUTED_VALUE"""),"GoodLuckBabe_58, Zaheer_59")</f>
        <v>GoodLuckBabe_58, Zaheer_59</v>
      </c>
      <c r="D5" s="6"/>
    </row>
    <row r="6" spans="1:4" ht="15.75" customHeight="1" x14ac:dyDescent="0.15">
      <c r="A6" s="5" t="s">
        <v>5</v>
      </c>
      <c r="B6" s="6" t="str">
        <f ca="1">IFERROR(__xludf.DUMMYFUNCTION("""COMPUTED_VALUE"""),"Original Glimmer call @bp 37947 has strength 9.97")</f>
        <v>Original Glimmer call @bp 37947 has strength 9.97</v>
      </c>
      <c r="C6" s="6" t="str">
        <f ca="1">IFERROR(__xludf.DUMMYFUNCTION("""COMPUTED_VALUE"""),"Glimmer call 38138 not called by GeneMark")</f>
        <v>Glimmer call 38138 not called by GeneMark</v>
      </c>
      <c r="D6" s="6"/>
    </row>
    <row r="7" spans="1:4" ht="15.75" customHeight="1" x14ac:dyDescent="0.15">
      <c r="A7" s="5" t="s">
        <v>6</v>
      </c>
      <c r="B7" s="6" t="str">
        <f ca="1">IFERROR(__xludf.DUMMYFUNCTION("""COMPUTED_VALUE"""),"kinda odd, not the best ")</f>
        <v xml:space="preserve">kinda odd, not the best </v>
      </c>
      <c r="C7" s="6" t="str">
        <f ca="1">IFERROR(__xludf.DUMMYFUNCTION("""COMPUTED_VALUE"""),"Not very good potential")</f>
        <v>Not very good potential</v>
      </c>
      <c r="D7" s="6"/>
    </row>
    <row r="8" spans="1:4" ht="15.75" customHeight="1" x14ac:dyDescent="0.15">
      <c r="A8" s="5" t="s">
        <v>7</v>
      </c>
      <c r="B8" s="6" t="str">
        <f ca="1">IFERROR(__xludf.DUMMYFUNCTION("""COMPUTED_VALUE"""),"no ")</f>
        <v xml:space="preserve">no </v>
      </c>
      <c r="C8" s="6" t="str">
        <f ca="1">IFERROR(__xludf.DUMMYFUNCTION("""COMPUTED_VALUE"""),"There are two other start but they are overlapping gene 55 on DNA Master")</f>
        <v>There are two other start but they are overlapping gene 55 on DNA Master</v>
      </c>
      <c r="D8" s="6"/>
    </row>
    <row r="9" spans="1:4" ht="15.75" customHeight="1" x14ac:dyDescent="0.15">
      <c r="A9" s="5" t="s">
        <v>8</v>
      </c>
      <c r="B9" s="6" t="str">
        <f ca="1">IFERROR(__xludf.DUMMYFUNCTION("""COMPUTED_VALUE"""),"Thre nucleotide overlap")</f>
        <v>Thre nucleotide overlap</v>
      </c>
      <c r="C9" s="6" t="str">
        <f ca="1">IFERROR(__xludf.DUMMYFUNCTION("""COMPUTED_VALUE"""),"Overlap of 3 nucleotides")</f>
        <v>Overlap of 3 nucleotides</v>
      </c>
      <c r="D9" s="6"/>
    </row>
    <row r="10" spans="1:4" ht="15.75" customHeight="1" x14ac:dyDescent="0.15">
      <c r="A10" s="5" t="s">
        <v>9</v>
      </c>
      <c r="B10" s="6" t="str">
        <f ca="1">IFERROR(__xludf.DUMMYFUNCTION("""COMPUTED_VALUE"""),"SD: -4.012, Z: 1.939, Final: -5.058")</f>
        <v>SD: -4.012, Z: 1.939, Final: -5.058</v>
      </c>
      <c r="C10" s="6" t="str">
        <f ca="1">IFERROR(__xludf.DUMMYFUNCTION("""COMPUTED_VALUE"""),"Z-score 1.915, F-score -4.924 ")</f>
        <v xml:space="preserve">Z-score 1.915, F-score -4.924 </v>
      </c>
      <c r="D10" s="6"/>
    </row>
    <row r="11" spans="1:4" ht="15.75" customHeight="1" x14ac:dyDescent="0.15">
      <c r="A11" s="5" t="s">
        <v>10</v>
      </c>
      <c r="B11" s="6" t="str">
        <f ca="1">IFERROR(__xludf.DUMMYFUNCTION("""COMPUTED_VALUE"""),"hypothetical protein - Zaheer 59, 98.07% identity, 2.26704e-27")</f>
        <v>hypothetical protein - Zaheer 59, 98.07% identity, 2.26704e-27</v>
      </c>
      <c r="C11" s="6" t="str">
        <f ca="1">IFERROR(__xludf.DUMMYFUNCTION("""COMPUTED_VALUE"""),"Zaheer_59
98.08% identity, 2e-27	
q: 1-52 , t: 1-52")</f>
        <v>Zaheer_59
98.08% identity, 2e-27	
q: 1-52 , t: 1-52</v>
      </c>
      <c r="D11" s="6"/>
    </row>
    <row r="12" spans="1:4" ht="15.75" customHeight="1" x14ac:dyDescent="0.15">
      <c r="A12" s="5" t="s">
        <v>11</v>
      </c>
      <c r="B12" s="6" t="str">
        <f ca="1">IFERROR(__xludf.DUMMYFUNCTION("""COMPUTED_VALUE"""),"Found in 49 of 49 ( 100.0% ) of genes in pham called 100% of the time")</f>
        <v>Found in 49 of 49 ( 100.0% ) of genes in pham called 100% of the time</v>
      </c>
      <c r="C12" s="6" t="str">
        <f ca="1">IFERROR(__xludf.DUMMYFUNCTION("""COMPUTED_VALUE"""),"Found in 49 of 49 ( 100.0% ) of genes in pham
Called 100.0% of time when present")</f>
        <v>Found in 49 of 49 ( 100.0% ) of genes in pham
Called 100.0% of time when present</v>
      </c>
      <c r="D12" s="6"/>
    </row>
    <row r="13" spans="1:4" ht="15.75" customHeight="1" x14ac:dyDescent="0.15">
      <c r="A13" s="5" t="s">
        <v>12</v>
      </c>
      <c r="B13" s="6" t="str">
        <f ca="1">IFERROR(__xludf.DUMMYFUNCTION("""COMPUTED_VALUE"""),"No wouldn't make much sense in this situation")</f>
        <v>No wouldn't make much sense in this situation</v>
      </c>
      <c r="C13" s="6" t="str">
        <f ca="1">IFERROR(__xludf.DUMMYFUNCTION("""COMPUTED_VALUE"""),"No it would be worse in the start changed")</f>
        <v>No it would be worse in the start changed</v>
      </c>
      <c r="D13" s="6"/>
    </row>
    <row r="14" spans="1:4" ht="15.75" customHeight="1" x14ac:dyDescent="0.15">
      <c r="A14" s="5" t="s">
        <v>13</v>
      </c>
      <c r="B14" s="6" t="str">
        <f ca="1">IFERROR(__xludf.DUMMYFUNCTION("""COMPUTED_VALUE"""),"AbbyDaisy_61 - AdaS_60 - Aikyam_61 - AllBusiness_54 - Anekin_61 - Auxilium_58")</f>
        <v>AbbyDaisy_61 - AdaS_60 - Aikyam_61 - AllBusiness_54 - Anekin_61 - Auxilium_58</v>
      </c>
      <c r="C14" s="6" t="str">
        <f ca="1">IFERROR(__xludf.DUMMYFUNCTION("""COMPUTED_VALUE"""),"Zaheer_59, function unknown, 52                                       103   1e-22 
GoodLuckBabe_Draft_58, function unknown, 52                           103   1e-22 ")</f>
        <v xml:space="preserve">Zaheer_59, function unknown, 52                                       103   1e-22 
GoodLuckBabe_Draft_58, function unknown, 52                           103   1e-22 </v>
      </c>
      <c r="D14" s="6"/>
    </row>
    <row r="15" spans="1:4" ht="15.75" customHeight="1" x14ac:dyDescent="0.15">
      <c r="A15" s="5" t="s">
        <v>14</v>
      </c>
      <c r="B15" s="6" t="str">
        <f ca="1">IFERROR(__xludf.DUMMYFUNCTION("""COMPUTED_VALUE"""),"No function listed")</f>
        <v>No function listed</v>
      </c>
      <c r="C15" s="6" t="str">
        <f ca="1">IFERROR(__xludf.DUMMYFUNCTION("""COMPUTED_VALUE"""),"function unknown")</f>
        <v>function unknown</v>
      </c>
      <c r="D15" s="6"/>
    </row>
    <row r="16" spans="1:4" ht="15.75" customHeight="1" x14ac:dyDescent="0.15">
      <c r="A16" s="5" t="s">
        <v>15</v>
      </c>
      <c r="B16" s="6" t="str">
        <f ca="1">IFERROR(__xludf.DUMMYFUNCTION("""COMPUTED_VALUE"""),"fits well into the DNA sequence")</f>
        <v>fits well into the DNA sequence</v>
      </c>
      <c r="C16" s="6" t="str">
        <f ca="1">IFERROR(__xludf.DUMMYFUNCTION("""COMPUTED_VALUE"""),"It not bad but some gene dont match well with the sequence")</f>
        <v>It not bad but some gene dont match well with the sequence</v>
      </c>
      <c r="D16" s="6"/>
    </row>
    <row r="17" spans="1:4" ht="15.75" customHeight="1" x14ac:dyDescent="0.15">
      <c r="A17" s="5" t="s">
        <v>16</v>
      </c>
      <c r="B17" s="6" t="str">
        <f ca="1">IFERROR(__xludf.DUMMYFUNCTION("""COMPUTED_VALUE"""),"Flagellar transcriptional activator- 86.2% prob, Q:42.31%,  T: 21.57%")</f>
        <v>Flagellar transcriptional activator- 86.2% prob, Q:42.31%,  T: 21.57%</v>
      </c>
      <c r="C17" s="6" t="str">
        <f ca="1">IFERROR(__xludf.DUMMYFUNCTION("""COMPUTED_VALUE"""),"8J56_A Flagellar transcriptional regulator FlhD; FlhDC, flagellar master regulator, transcription factor, Cupriavidus necator, TRANSCRIPTION; 3.5A {Cupriavidus necator}
Probability: 85.05%
Query: 42%
Target: 20%
The functional domain is a part of the targ"&amp;"eted alignment.")</f>
        <v>8J56_A Flagellar transcriptional regulator FlhD; FlhDC, flagellar master regulator, transcription factor, Cupriavidus necator, TRANSCRIPTION; 3.5A {Cupriavidus necator}
Probability: 85.05%
Query: 42%
Target: 20%
The functional domain is a part of the targeted alignment.</v>
      </c>
      <c r="D17" s="6"/>
    </row>
    <row r="18" spans="1:4" ht="15.75" customHeight="1" x14ac:dyDescent="0.15">
      <c r="A18" s="5" t="s">
        <v>17</v>
      </c>
      <c r="B18" s="6" t="str">
        <f ca="1">IFERROR(__xludf.DUMMYFUNCTION("""COMPUTED_VALUE"""),"No conserve domain listed ")</f>
        <v xml:space="preserve">No conserve domain listed </v>
      </c>
      <c r="C18" s="6" t="str">
        <f ca="1">IFERROR(__xludf.DUMMYFUNCTION("""COMPUTED_VALUE"""),"none")</f>
        <v>none</v>
      </c>
      <c r="D18" s="6"/>
    </row>
    <row r="19" spans="1:4" ht="15.75" customHeight="1" x14ac:dyDescent="0.15">
      <c r="A19" s="5" t="s">
        <v>18</v>
      </c>
      <c r="B19" s="6" t="str">
        <f ca="1">IFERROR(__xludf.DUMMYFUNCTION("""COMPUTED_VALUE"""),"Interior probability of 1")</f>
        <v>Interior probability of 1</v>
      </c>
      <c r="C19" s="6" t="str">
        <f ca="1">IFERROR(__xludf.DUMMYFUNCTION("""COMPUTED_VALUE"""),"none")</f>
        <v>none</v>
      </c>
      <c r="D19" s="6"/>
    </row>
    <row r="20" spans="1:4" ht="15.75" customHeight="1" x14ac:dyDescent="0.15">
      <c r="A20" s="5" t="s">
        <v>19</v>
      </c>
      <c r="B20" s="6" t="str">
        <f ca="1">IFERROR(__xludf.DUMMYFUNCTION("""COMPUTED_VALUE"""),"Likely a Flagellar transcriptional activator, HHPRED showed this many times.")</f>
        <v>Likely a Flagellar transcriptional activator, HHPRED showed this many times.</v>
      </c>
      <c r="C20" s="6" t="str">
        <f ca="1">IFERROR(__xludf.DUMMYFUNCTION("""COMPUTED_VALUE"""),"Unknown function there is no solid evidence that there is a function for this gene.")</f>
        <v>Unknown function there is no solid evidence that there is a function for this gene.</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IFERROR(__xludf.DUMMYFUNCTION("IMPORTRANGE(""https://docs.google.com/spreadsheets/d/14y37YetMnZx9r75GG6HNm6HxdMfX_704WhJDUt8FSgU"", ""S59!B1:B22"")"),"Braden Brennan")</f>
        <v>Braden Brennan</v>
      </c>
      <c r="C1" s="11" t="str">
        <f ca="1">IFERROR(__xludf.DUMMYFUNCTION("IMPORTRANGE(""https://docs.google.com/spreadsheets/d/118rN356SVQ9wRlO8Wn-8gpg7SdHsE4vm-XldkW2-iEo"", ""S59!B1:B22"")"),"McKinzie Novak")</f>
        <v>McKinzie Novak</v>
      </c>
      <c r="D1" s="2" t="s">
        <v>0</v>
      </c>
    </row>
    <row r="2" spans="1:4" ht="15.75" customHeight="1" x14ac:dyDescent="0.15">
      <c r="A2" s="3" t="s">
        <v>1</v>
      </c>
      <c r="B2" s="4" t="str">
        <f ca="1">IFERROR(__xludf.DUMMYFUNCTION("""COMPUTED_VALUE"""),"38293 - 38490 forward")</f>
        <v>38293 - 38490 forward</v>
      </c>
      <c r="C2" s="4" t="str">
        <f ca="1">IFERROR(__xludf.DUMMYFUNCTION("""COMPUTED_VALUE"""),"START: 38293
STOP: 38490
FORWARD")</f>
        <v>START: 38293
STOP: 38490
FORWARD</v>
      </c>
      <c r="D2" s="4"/>
    </row>
    <row r="3" spans="1:4" ht="15.75" customHeight="1" x14ac:dyDescent="0.15">
      <c r="A3" s="5" t="s">
        <v>2</v>
      </c>
      <c r="B3" s="6" t="str">
        <f ca="1">IFERROR(__xludf.DUMMYFUNCTION("""COMPUTED_VALUE"""),"PHAM: 59    DNAM: 57")</f>
        <v>PHAM: 59    DNAM: 57</v>
      </c>
      <c r="C3" s="6" t="str">
        <f ca="1">IFERROR(__xludf.DUMMYFUNCTION("""COMPUTED_VALUE"""),"DNAM: 57
PHAM: 59      PECAAN: 57
Phagesdb: 59")</f>
        <v>DNAM: 57
PHAM: 59      PECAAN: 57
Phagesdb: 59</v>
      </c>
      <c r="D3" s="6"/>
    </row>
    <row r="4" spans="1:4" ht="15.75" customHeight="1" x14ac:dyDescent="0.15">
      <c r="A4" s="5" t="s">
        <v>3</v>
      </c>
      <c r="B4" s="6" t="str">
        <f ca="1">IFERROR(__xludf.DUMMYFUNCTION("""COMPUTED_VALUE"""),"pham 29446 - 4/10/2025")</f>
        <v>pham 29446 - 4/10/2025</v>
      </c>
      <c r="C4" s="6" t="str">
        <f ca="1">IFERROR(__xludf.DUMMYFUNCTION("""COMPUTED_VALUE"""),"#29446    4/18/25")</f>
        <v>#29446    4/18/25</v>
      </c>
      <c r="D4" s="6"/>
    </row>
    <row r="5" spans="1:4" ht="15.75" customHeight="1" x14ac:dyDescent="0.15">
      <c r="A5" s="5" t="s">
        <v>4</v>
      </c>
      <c r="B5" s="6"/>
      <c r="C5" s="6" t="str">
        <f ca="1">IFERROR(__xludf.DUMMYFUNCTION("""COMPUTED_VALUE"""),"Zaheer #60, Gusanita #58")</f>
        <v>Zaheer #60, Gusanita #58</v>
      </c>
      <c r="D5" s="6"/>
    </row>
    <row r="6" spans="1:4" ht="15.75" customHeight="1" x14ac:dyDescent="0.15">
      <c r="A6" s="5" t="s">
        <v>5</v>
      </c>
      <c r="B6" s="6" t="str">
        <f ca="1">IFERROR(__xludf.DUMMYFUNCTION("""COMPUTED_VALUE"""),"Original Glimmer call @bp 38293 has strength 8.85")</f>
        <v>Original Glimmer call @bp 38293 has strength 8.85</v>
      </c>
      <c r="C6" s="6" t="str">
        <f ca="1">IFERROR(__xludf.DUMMYFUNCTION("""COMPUTED_VALUE"""),"Both Glimmer and Genemark call the start at 38293 ")</f>
        <v xml:space="preserve">Both Glimmer and Genemark call the start at 38293 </v>
      </c>
      <c r="D6" s="6"/>
    </row>
    <row r="7" spans="1:4" ht="15.75" customHeight="1" x14ac:dyDescent="0.15">
      <c r="A7" s="5" t="s">
        <v>6</v>
      </c>
      <c r="B7" s="6" t="str">
        <f ca="1">IFERROR(__xludf.DUMMYFUNCTION("""COMPUTED_VALUE"""),"Good coding potential")</f>
        <v>Good coding potential</v>
      </c>
      <c r="C7" s="6" t="str">
        <f ca="1">IFERROR(__xludf.DUMMYFUNCTION("""COMPUTED_VALUE"""),"The coding potential is relatively good, it doesn't crash down anywhere, and the start called does catch all of the potential")</f>
        <v>The coding potential is relatively good, it doesn't crash down anywhere, and the start called does catch all of the potential</v>
      </c>
      <c r="D7" s="6"/>
    </row>
    <row r="8" spans="1:4" ht="15.75" customHeight="1" x14ac:dyDescent="0.15">
      <c r="A8" s="5" t="s">
        <v>7</v>
      </c>
      <c r="B8" s="6" t="str">
        <f ca="1">IFERROR(__xludf.DUMMYFUNCTION("""COMPUTED_VALUE"""),"Not the longest possible orf")</f>
        <v>Not the longest possible orf</v>
      </c>
      <c r="C8" s="6" t="str">
        <f ca="1">IFERROR(__xludf.DUMMYFUNCTION("""COMPUTED_VALUE"""),"Yes, this start is the longest open reading frame")</f>
        <v>Yes, this start is the longest open reading frame</v>
      </c>
      <c r="D8" s="6"/>
    </row>
    <row r="9" spans="1:4" ht="15.75" customHeight="1" x14ac:dyDescent="0.15">
      <c r="A9" s="5" t="s">
        <v>8</v>
      </c>
      <c r="B9" s="6" t="str">
        <f ca="1">IFERROR(__xludf.DUMMYFUNCTION("""COMPUTED_VALUE"""),"three nucleotide overlap")</f>
        <v>three nucleotide overlap</v>
      </c>
      <c r="C9" s="6" t="str">
        <f ca="1">IFERROR(__xludf.DUMMYFUNCTION("""COMPUTED_VALUE"""),"There is a 4 basepair overlap with the previous gene. Moving the start would create a 71 basepair gap however.")</f>
        <v>There is a 4 basepair overlap with the previous gene. Moving the start would create a 71 basepair gap however.</v>
      </c>
      <c r="D9" s="6"/>
    </row>
    <row r="10" spans="1:4" ht="15.75" customHeight="1" x14ac:dyDescent="0.15">
      <c r="A10" s="5" t="s">
        <v>9</v>
      </c>
      <c r="B10" s="6" t="str">
        <f ca="1">IFERROR(__xludf.DUMMYFUNCTION("""COMPUTED_VALUE"""),"SD: -2.525, Z:2.641, FINAL: -3.484")</f>
        <v>SD: -2.525, Z:2.641, FINAL: -3.484</v>
      </c>
      <c r="C10" s="6" t="str">
        <f ca="1">IFERROR(__xludf.DUMMYFUNCTION("""COMPUTED_VALUE"""),"Start: 38293 
z-score: 2.109 rbs: -4.347")</f>
        <v>Start: 38293 
z-score: 2.109 rbs: -4.347</v>
      </c>
      <c r="D10" s="6"/>
    </row>
    <row r="11" spans="1:4" ht="15.75" customHeight="1" x14ac:dyDescent="0.15">
      <c r="A11" s="5" t="s">
        <v>10</v>
      </c>
      <c r="B11" s="6" t="str">
        <f ca="1">IFERROR(__xludf.DUMMYFUNCTION("""COMPUTED_VALUE"""),"hypothetical protein - Zaheer 60 - 66.15% - 5.02822e-18             membrane protein [Arthrobacter phage Gusanita ] - 90.77% - 5.87341e-17")</f>
        <v>hypothetical protein - Zaheer 60 - 66.15% - 5.02822e-18             membrane protein [Arthrobacter phage Gusanita ] - 90.77% - 5.87341e-17</v>
      </c>
      <c r="C11" s="6" t="str">
        <f ca="1">IFERROR(__xludf.DUMMYFUNCTION("""COMPUTED_VALUE"""),"Zaheer #60 
%ID:66.15 eval: 2e-27
Q:22 S:22
Gusanita #58 
%ID:90.77 eval: 4e-26
Q:1 S:1")</f>
        <v>Zaheer #60 
%ID:66.15 eval: 2e-27
Q:22 S:22
Gusanita #58 
%ID:90.77 eval: 4e-26
Q:1 S:1</v>
      </c>
      <c r="D11" s="6"/>
    </row>
    <row r="12" spans="1:4" ht="15.75" customHeight="1" x14ac:dyDescent="0.15">
      <c r="A12" s="5" t="s">
        <v>11</v>
      </c>
      <c r="B12" s="6" t="str">
        <f ca="1">IFERROR(__xludf.DUMMYFUNCTION("""COMPUTED_VALUE"""),"Found in 8 of 8 ( 100.0% ) of genes in pham called 100% of the time")</f>
        <v>Found in 8 of 8 ( 100.0% ) of genes in pham called 100% of the time</v>
      </c>
      <c r="C12" s="6" t="str">
        <f ca="1">IFERROR(__xludf.DUMMYFUNCTION("""COMPUTED_VALUE"""),"The only annotated start is start (#3) which is also the start called by schism. its called 100% of the time.")</f>
        <v>The only annotated start is start (#3) which is also the start called by schism. its called 100% of the time.</v>
      </c>
      <c r="D12" s="6"/>
    </row>
    <row r="13" spans="1:4" ht="15.75" customHeight="1" x14ac:dyDescent="0.15">
      <c r="A13" s="5" t="s">
        <v>12</v>
      </c>
      <c r="B13" s="6" t="str">
        <f ca="1">IFERROR(__xludf.DUMMYFUNCTION("""COMPUTED_VALUE"""),"No the start fits the sequence well as is")</f>
        <v>No the start fits the sequence well as is</v>
      </c>
      <c r="C13" s="6" t="str">
        <f ca="1">IFERROR(__xludf.DUMMYFUNCTION("""COMPUTED_VALUE"""),"No, starterator conserves the start really well, it has the highest z-score, and moving would lose coding potential and create a large gap")</f>
        <v>No, starterator conserves the start really well, it has the highest z-score, and moving would lose coding potential and create a large gap</v>
      </c>
      <c r="D13" s="6"/>
    </row>
    <row r="14" spans="1:4" ht="15.75" customHeight="1" x14ac:dyDescent="0.15">
      <c r="A14" s="5" t="s">
        <v>13</v>
      </c>
      <c r="B14" s="6" t="str">
        <f ca="1">IFERROR(__xludf.DUMMYFUNCTION("""COMPUTED_VALUE"""),"Donatella_58 - GoodLuckBabe_59 - Guinevere_60 - Gusanita_58")</f>
        <v>Donatella_58 - GoodLuckBabe_59 - Guinevere_60 - Gusanita_58</v>
      </c>
      <c r="C14" s="6" t="str">
        <f ca="1">IFERROR(__xludf.DUMMYFUNCTION("""COMPUTED_VALUE"""),"Zaheer #60 eval: 2e-27
Gusanita #58 eval: 4e-26")</f>
        <v>Zaheer #60 eval: 2e-27
Gusanita #58 eval: 4e-26</v>
      </c>
      <c r="D14" s="6"/>
    </row>
    <row r="15" spans="1:4" ht="15.75" customHeight="1" x14ac:dyDescent="0.15">
      <c r="A15" s="5" t="s">
        <v>14</v>
      </c>
      <c r="B15" s="6" t="str">
        <f ca="1">IFERROR(__xludf.DUMMYFUNCTION("""COMPUTED_VALUE"""),"No function listed")</f>
        <v>No function listed</v>
      </c>
      <c r="C15" s="6" t="str">
        <f ca="1">IFERROR(__xludf.DUMMYFUNCTION("""COMPUTED_VALUE"""),"Zaheer #60 (hypothetical protein)
Gusanita #58 (hypothetical protein)")</f>
        <v>Zaheer #60 (hypothetical protein)
Gusanita #58 (hypothetical protein)</v>
      </c>
      <c r="D15" s="6"/>
    </row>
    <row r="16" spans="1:4" ht="15.75" customHeight="1" x14ac:dyDescent="0.15">
      <c r="A16" s="5" t="s">
        <v>15</v>
      </c>
      <c r="B16" s="6" t="str">
        <f ca="1">IFERROR(__xludf.DUMMYFUNCTION("""COMPUTED_VALUE"""),"Fits well in the sequence and seems to be an average gene")</f>
        <v>Fits well in the sequence and seems to be an average gene</v>
      </c>
      <c r="C16" s="6" t="str">
        <f ca="1">IFERROR(__xludf.DUMMYFUNCTION("""COMPUTED_VALUE"""),"The gene does not align well with nandita, but it fits in its genetic environment well because it is adjacent to hypothetical proteins on each side")</f>
        <v>The gene does not align well with nandita, but it fits in its genetic environment well because it is adjacent to hypothetical proteins on each side</v>
      </c>
      <c r="D16" s="6"/>
    </row>
    <row r="17" spans="1:4" ht="15.75" customHeight="1" x14ac:dyDescent="0.15">
      <c r="A17" s="5" t="s">
        <v>16</v>
      </c>
      <c r="B17" s="6" t="str">
        <f ca="1">IFERROR(__xludf.DUMMYFUNCTION("""COMPUTED_VALUE"""),"Histamine H4 receptor - 37.6% probability, Q: 100%, T: 11.86%")</f>
        <v>Histamine H4 receptor - 37.6% probability, Q: 100%, T: 11.86%</v>
      </c>
      <c r="C17" s="6" t="str">
        <f ca="1">IFERROR(__xludf.DUMMYFUNCTION("""COMPUTED_VALUE"""),"DESC: Histamine H4 receptor; GPCR, Aminergic receptor, Histamine receptor, MEMBRANE PROTEIN; HET: CLR, ITF;{Homo sapiens}
Prob: 37.6% %alq:100 %alt:11.9
No, it does not contain the entire domain of this protein")</f>
        <v>DESC: Histamine H4 receptor; GPCR, Aminergic receptor, Histamine receptor, MEMBRANE PROTEIN; HET: CLR, ITF;{Homo sapiens}
Prob: 37.6% %alq:100 %alt:11.9
No, it does not contain the entire domain of this protein</v>
      </c>
      <c r="D17" s="6"/>
    </row>
    <row r="18" spans="1:4" ht="15.75" customHeight="1" x14ac:dyDescent="0.15">
      <c r="A18" s="5" t="s">
        <v>17</v>
      </c>
      <c r="B18" s="6" t="str">
        <f ca="1">IFERROR(__xludf.DUMMYFUNCTION("""COMPUTED_VALUE"""),"No conserve domains listed")</f>
        <v>No conserve domains listed</v>
      </c>
      <c r="C18" s="6" t="str">
        <f ca="1">IFERROR(__xludf.DUMMYFUNCTION("""COMPUTED_VALUE"""),"none")</f>
        <v>none</v>
      </c>
      <c r="D18" s="6"/>
    </row>
    <row r="19" spans="1:4" ht="15.75" customHeight="1" x14ac:dyDescent="0.15">
      <c r="A19" s="5" t="s">
        <v>18</v>
      </c>
      <c r="B19" s="6" t="str">
        <f ca="1">IFERROR(__xludf.DUMMYFUNCTION("""COMPUTED_VALUE"""),"Interior ")</f>
        <v xml:space="preserve">Interior </v>
      </c>
      <c r="C19" s="6" t="str">
        <f ca="1">IFERROR(__xludf.DUMMYFUNCTION("""COMPUTED_VALUE"""),"Yes - alpha TM; 
TMhelix 4-24
inside 25-36
TMhelix 37-57
outside 58-65")</f>
        <v>Yes - alpha TM; 
TMhelix 4-24
inside 25-36
TMhelix 37-57
outside 58-65</v>
      </c>
      <c r="D19" s="6"/>
    </row>
    <row r="20" spans="1:4" ht="15.75" customHeight="1" x14ac:dyDescent="0.15">
      <c r="A20" s="5" t="s">
        <v>19</v>
      </c>
      <c r="B20" s="6" t="str">
        <f ca="1">IFERROR(__xludf.DUMMYFUNCTION("""COMPUTED_VALUE"""),"Hypothetical protein or a DUF. both listed during NCBI blast as likely")</f>
        <v>Hypothetical protein or a DUF. both listed during NCBI blast as likely</v>
      </c>
      <c r="C20" s="6" t="str">
        <f ca="1">IFERROR(__xludf.DUMMYFUNCTION("""COMPUTED_VALUE"""),"Transmembrane protein")</f>
        <v>Transmembrane protein</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IFERROR(__xludf.DUMMYFUNCTION("IMPORTRANGE(""https://docs.google.com/spreadsheets/d/1lnhM27PotbG3sLgv1l-Z-v-YjCyKJ0DlymQrusc2STA"", ""S60!B1:B22"")"),"Layla Baldwin")</f>
        <v>Layla Baldwin</v>
      </c>
      <c r="C1" s="11" t="str">
        <f ca="1">IFERROR(__xludf.DUMMYFUNCTION("IMPORTRANGE(""https://docs.google.com/spreadsheets/d/1mDoveT5ogJcal0bN308rf9jioMYsAcKe21Otdt4nuTk"", ""S60!B1:B22"")"),"Put Your Name Here")</f>
        <v>Put Your Name Here</v>
      </c>
      <c r="D1" s="2" t="s">
        <v>0</v>
      </c>
    </row>
    <row r="2" spans="1:4" ht="15.75" customHeight="1" x14ac:dyDescent="0.15">
      <c r="A2" s="3" t="s">
        <v>1</v>
      </c>
      <c r="B2" s="4" t="str">
        <f ca="1">IFERROR(__xludf.DUMMYFUNCTION("""COMPUTED_VALUE"""),"38483 to 38788 (Forward)")</f>
        <v>38483 to 38788 (Forward)</v>
      </c>
      <c r="C2" s="4" t="str">
        <f ca="1">IFERROR(__xludf.DUMMYFUNCTION("""COMPUTED_VALUE"""),"38483 - 38788 FOW")</f>
        <v>38483 - 38788 FOW</v>
      </c>
      <c r="D2" s="4"/>
    </row>
    <row r="3" spans="1:4" ht="15.75" customHeight="1" x14ac:dyDescent="0.15">
      <c r="A3" s="5" t="s">
        <v>2</v>
      </c>
      <c r="B3" s="6" t="str">
        <f ca="1">IFERROR(__xludf.DUMMYFUNCTION("""COMPUTED_VALUE"""),"60 in Pham and PDB, 58 in DNAM")</f>
        <v>60 in Pham and PDB, 58 in DNAM</v>
      </c>
      <c r="C3" s="6" t="str">
        <f ca="1">IFERROR(__xludf.DUMMYFUNCTION("""COMPUTED_VALUE"""),"DNA Master_58
Phamerator_60")</f>
        <v>DNA Master_58
Phamerator_60</v>
      </c>
      <c r="D3" s="6"/>
    </row>
    <row r="4" spans="1:4" ht="15.75" customHeight="1" x14ac:dyDescent="0.15">
      <c r="A4" s="5" t="s">
        <v>3</v>
      </c>
      <c r="B4" s="6" t="str">
        <f ca="1">IFERROR(__xludf.DUMMYFUNCTION("""COMPUTED_VALUE"""),"31086, 4/7/25")</f>
        <v>31086, 4/7/25</v>
      </c>
      <c r="C4" s="6" t="str">
        <f ca="1">IFERROR(__xludf.DUMMYFUNCTION("""COMPUTED_VALUE"""),"31086 4/10/25")</f>
        <v>31086 4/10/25</v>
      </c>
      <c r="D4" s="6"/>
    </row>
    <row r="5" spans="1:4" ht="15.75" customHeight="1" x14ac:dyDescent="0.15">
      <c r="A5" s="5" t="s">
        <v>4</v>
      </c>
      <c r="B5" s="6" t="str">
        <f ca="1">IFERROR(__xludf.DUMMYFUNCTION("""COMPUTED_VALUE"""),"Zaheer_61")</f>
        <v>Zaheer_61</v>
      </c>
      <c r="C5" s="6" t="str">
        <f ca="1">IFERROR(__xludf.DUMMYFUNCTION("""COMPUTED_VALUE"""),"Zaheer_61")</f>
        <v>Zaheer_61</v>
      </c>
      <c r="D5" s="6"/>
    </row>
    <row r="6" spans="1:4" ht="15.75" customHeight="1" x14ac:dyDescent="0.15">
      <c r="A6" s="5" t="s">
        <v>5</v>
      </c>
      <c r="B6" s="6" t="str">
        <f ca="1">IFERROR(__xludf.DUMMYFUNCTION("""COMPUTED_VALUE"""),"Both call")</f>
        <v>Both call</v>
      </c>
      <c r="C6" s="6" t="str">
        <f ca="1">IFERROR(__xludf.DUMMYFUNCTION("""COMPUTED_VALUE"""),"both call @ bp 38483 ")</f>
        <v xml:space="preserve">both call @ bp 38483 </v>
      </c>
      <c r="D6" s="6"/>
    </row>
    <row r="7" spans="1:4" ht="15.75" customHeight="1" x14ac:dyDescent="0.15">
      <c r="A7" s="5" t="s">
        <v>6</v>
      </c>
      <c r="B7" s="6" t="str">
        <f ca="1">IFERROR(__xludf.DUMMYFUNCTION("""COMPUTED_VALUE"""),"Good potential, start captures potential ")</f>
        <v xml:space="preserve">Good potential, start captures potential </v>
      </c>
      <c r="C7" s="6" t="str">
        <f ca="1">IFERROR(__xludf.DUMMYFUNCTION("""COMPUTED_VALUE"""),"yes good coding potential after current start. All coding potential included.")</f>
        <v>yes good coding potential after current start. All coding potential included.</v>
      </c>
      <c r="D7" s="6"/>
    </row>
    <row r="8" spans="1:4" ht="15.75" customHeight="1" x14ac:dyDescent="0.15">
      <c r="A8" s="5" t="s">
        <v>7</v>
      </c>
      <c r="B8" s="6" t="str">
        <f ca="1">IFERROR(__xludf.DUMMYFUNCTION("""COMPUTED_VALUE"""),"Yes")</f>
        <v>Yes</v>
      </c>
      <c r="C8" s="6" t="str">
        <f ca="1">IFERROR(__xludf.DUMMYFUNCTION("""COMPUTED_VALUE"""),"yes ")</f>
        <v xml:space="preserve">yes </v>
      </c>
      <c r="D8" s="6"/>
    </row>
    <row r="9" spans="1:4" ht="15.75" customHeight="1" x14ac:dyDescent="0.15">
      <c r="A9" s="5" t="s">
        <v>8</v>
      </c>
      <c r="B9" s="6" t="str">
        <f ca="1">IFERROR(__xludf.DUMMYFUNCTION("""COMPUTED_VALUE"""),"7 bp ovelap")</f>
        <v>7 bp ovelap</v>
      </c>
      <c r="C9" s="6" t="str">
        <f ca="1">IFERROR(__xludf.DUMMYFUNCTION("""COMPUTED_VALUE"""),"7 nt overlap ")</f>
        <v xml:space="preserve">7 nt overlap </v>
      </c>
      <c r="D9" s="6"/>
    </row>
    <row r="10" spans="1:4" ht="15.75" customHeight="1" x14ac:dyDescent="0.15">
      <c r="A10" s="5" t="s">
        <v>9</v>
      </c>
      <c r="B10" s="6" t="str">
        <f ca="1">IFERROR(__xludf.DUMMYFUNCTION("""COMPUTED_VALUE"""),"Z = 2.953, final = -2.601, best scores")</f>
        <v>Z = 2.953, final = -2.601, best scores</v>
      </c>
      <c r="C10" s="6" t="str">
        <f ca="1">IFERROR(__xludf.DUMMYFUNCTION("""COMPUTED_VALUE"""),"current start has best Z score (2.935)")</f>
        <v>current start has best Z score (2.935)</v>
      </c>
      <c r="D10" s="6"/>
    </row>
    <row r="11" spans="1:4" ht="15.75" customHeight="1" x14ac:dyDescent="0.15">
      <c r="A11" s="5" t="s">
        <v>10</v>
      </c>
      <c r="B11" s="6" t="str">
        <f ca="1">IFERROR(__xludf.DUMMYFUNCTION("""COMPUTED_VALUE"""),"Zaheer, identity = 90.82, e = 5e-52, q4:s1")</f>
        <v>Zaheer, identity = 90.82, e = 5e-52, q4:s1</v>
      </c>
      <c r="C11" s="6" t="str">
        <f ca="1">IFERROR(__xludf.DUMMYFUNCTION("""COMPUTED_VALUE"""),"Zaheer_61; 90.8% identity; 5.26484e-52")</f>
        <v>Zaheer_61; 90.8% identity; 5.26484e-52</v>
      </c>
      <c r="D11" s="6"/>
    </row>
    <row r="12" spans="1:4" ht="15.75" customHeight="1" x14ac:dyDescent="0.15">
      <c r="A12" s="5" t="s">
        <v>11</v>
      </c>
      <c r="B12" s="6" t="str">
        <f ca="1">IFERROR(__xludf.DUMMYFUNCTION("""COMPUTED_VALUE"""),"Found in all, call 50%")</f>
        <v>Found in all, call 50%</v>
      </c>
      <c r="C12" s="6" t="str">
        <f ca="1">IFERROR(__xludf.DUMMYFUNCTION("""COMPUTED_VALUE"""),"No, Zaheer calls second start. ")</f>
        <v xml:space="preserve">No, Zaheer calls second start. </v>
      </c>
      <c r="D12" s="6"/>
    </row>
    <row r="13" spans="1:4" ht="15.75" customHeight="1" x14ac:dyDescent="0.15">
      <c r="A13" s="5" t="s">
        <v>12</v>
      </c>
      <c r="B13" s="6" t="str">
        <f ca="1">IFERROR(__xludf.DUMMYFUNCTION("""COMPUTED_VALUE"""),"No, good RBS and coding potential")</f>
        <v>No, good RBS and coding potential</v>
      </c>
      <c r="C13" s="6" t="str">
        <f ca="1">IFERROR(__xludf.DUMMYFUNCTION("""COMPUTED_VALUE"""),"no, there is no reason to change the start.")</f>
        <v>no, there is no reason to change the start.</v>
      </c>
      <c r="D13" s="6"/>
    </row>
    <row r="14" spans="1:4" ht="15.75" customHeight="1" x14ac:dyDescent="0.15">
      <c r="A14" s="5" t="s">
        <v>13</v>
      </c>
      <c r="B14" s="6" t="str">
        <f ca="1">IFERROR(__xludf.DUMMYFUNCTION("""COMPUTED_VALUE"""),"Zaheer_61, e = 4e-46")</f>
        <v>Zaheer_61, e = 4e-46</v>
      </c>
      <c r="C14" s="6" t="str">
        <f ca="1">IFERROR(__xludf.DUMMYFUNCTION("""COMPUTED_VALUE"""),"Zaheer_61 0.0")</f>
        <v>Zaheer_61 0.0</v>
      </c>
      <c r="D14" s="6"/>
    </row>
    <row r="15" spans="1:4" ht="15.75" customHeight="1" x14ac:dyDescent="0.15">
      <c r="A15" s="5" t="s">
        <v>14</v>
      </c>
      <c r="B15" s="6" t="str">
        <f ca="1">IFERROR(__xludf.DUMMYFUNCTION("""COMPUTED_VALUE"""),"Unkown function")</f>
        <v>Unkown function</v>
      </c>
      <c r="C15" s="6" t="str">
        <f ca="1">IFERROR(__xludf.DUMMYFUNCTION("""COMPUTED_VALUE"""),"function unknown")</f>
        <v>function unknown</v>
      </c>
      <c r="D15" s="6"/>
    </row>
    <row r="16" spans="1:4" ht="15.75" customHeight="1" x14ac:dyDescent="0.15">
      <c r="A16" s="5" t="s">
        <v>15</v>
      </c>
      <c r="B16" s="6" t="str">
        <f ca="1">IFERROR(__xludf.DUMMYFUNCTION("""COMPUTED_VALUE"""),"Yes")</f>
        <v>Yes</v>
      </c>
      <c r="C16" s="6" t="str">
        <f ca="1">IFERROR(__xludf.DUMMYFUNCTION("""COMPUTED_VALUE"""),"yes")</f>
        <v>yes</v>
      </c>
      <c r="D16" s="6"/>
    </row>
    <row r="17" spans="1:4" ht="15.75" customHeight="1" x14ac:dyDescent="0.15">
      <c r="A17" s="5" t="s">
        <v>16</v>
      </c>
      <c r="B17" s="6" t="str">
        <f ca="1">IFERROR(__xludf.DUMMYFUNCTION("""COMPUTED_VALUE"""),"UPF0045 protein MJ1052; NPPSFA, National Project on Protein Structural and Functional Analyses, RIKEN Structural Genomics/Proteomics Initiative, RSGI, STRUCTURAL GENOMICS; 1.7A {Methanocaldococcus jannaschii} SCOP: d.58.48.0, probability = 80.73, aoq = 54"&amp;".5, aot = 55, functional domain apart of target alignment (thyamine binding protein)")</f>
        <v>UPF0045 protein MJ1052; NPPSFA, National Project on Protein Structural and Functional Analyses, RIKEN Structural Genomics/Proteomics Initiative, RSGI, STRUCTURAL GENOMICS; 1.7A {Methanocaldococcus jannaschii} SCOP: d.58.48.0, probability = 80.73, aoq = 54.5, aot = 55, functional domain apart of target alignment (thyamine binding protein)</v>
      </c>
      <c r="C17" s="6" t="str">
        <f ca="1">IFERROR(__xludf.DUMMYFUNCTION("""COMPUTED_VALUE"""),"Hypothetical protein SP2199; alpha-beta protein, Structural Genomics, PSI-2, Protein Structure Initiative, Northeast Str
probability: 78.84%
% alignment Q: 54.5%
% alignment T: 52.9%")</f>
        <v>Hypothetical protein SP2199; alpha-beta protein, Structural Genomics, PSI-2, Protein Structure Initiative, Northeast Str
probability: 78.84%
% alignment Q: 54.5%
% alignment T: 52.9%</v>
      </c>
      <c r="D17" s="6"/>
    </row>
    <row r="18" spans="1:4" ht="15.75" customHeight="1" x14ac:dyDescent="0.15">
      <c r="A18" s="5" t="s">
        <v>17</v>
      </c>
      <c r="B18" s="6" t="str">
        <f ca="1">IFERROR(__xludf.DUMMYFUNCTION("""COMPUTED_VALUE"""),"No ")</f>
        <v xml:space="preserve">No </v>
      </c>
      <c r="C18" s="6" t="str">
        <f ca="1">IFERROR(__xludf.DUMMYFUNCTION("""COMPUTED_VALUE"""),"no")</f>
        <v>no</v>
      </c>
      <c r="D18" s="6"/>
    </row>
    <row r="19" spans="1:4" ht="15.75" customHeight="1" x14ac:dyDescent="0.15">
      <c r="A19" s="5" t="s">
        <v>18</v>
      </c>
      <c r="B19" s="6" t="str">
        <f ca="1">IFERROR(__xludf.DUMMYFUNCTION("""COMPUTED_VALUE"""),"No ")</f>
        <v xml:space="preserve">No </v>
      </c>
      <c r="C19" s="6" t="str">
        <f ca="1">IFERROR(__xludf.DUMMYFUNCTION("""COMPUTED_VALUE"""),"no")</f>
        <v>no</v>
      </c>
      <c r="D19" s="6"/>
    </row>
    <row r="20" spans="1:4" ht="15.75" customHeight="1" x14ac:dyDescent="0.15">
      <c r="A20" s="5" t="s">
        <v>19</v>
      </c>
      <c r="B20" s="6" t="str">
        <f ca="1">IFERROR(__xludf.DUMMYFUNCTION("""COMPUTED_VALUE"""),"Unkown function, not enough evidence to support anything else")</f>
        <v>Unkown function, not enough evidence to support anything else</v>
      </c>
      <c r="C20" s="6" t="str">
        <f ca="1">IFERROR(__xludf.DUMMYFUNCTION("""COMPUTED_VALUE"""),"hypthetical protein, support from HHpred and Phages DB blast supports. ")</f>
        <v xml:space="preserve">hypthetical protein, support from HHpred and Phages DB blast supports. </v>
      </c>
      <c r="D20" s="6"/>
    </row>
    <row r="21" spans="1:4" x14ac:dyDescent="0.2">
      <c r="A21" s="7"/>
      <c r="B21" s="8"/>
      <c r="C21" s="8"/>
      <c r="D21" s="8"/>
    </row>
    <row r="22" spans="1:4" ht="15.75" customHeight="1" x14ac:dyDescent="0.15">
      <c r="A22" s="9" t="s">
        <v>20</v>
      </c>
      <c r="B22" s="8" t="str">
        <f ca="1">IFERROR(__xludf.DUMMYFUNCTION("""COMPUTED_VALUE"""),"binding protein?")</f>
        <v>binding protein?</v>
      </c>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IFERROR(__xludf.DUMMYFUNCTION("IMPORTRANGE(""https://docs.google.com/spreadsheets/d/1JcP72URjln8m_02QQGZH43HhxTMRpkReW-wbnKU8b-0"", ""S61!B1:B22"")"),"Josiah Bolton")</f>
        <v>Josiah Bolton</v>
      </c>
      <c r="C1" s="10" t="str">
        <f ca="1">IFERROR(__xludf.DUMMYFUNCTION("IMPORTRANGE(""https://docs.google.com/spreadsheets/d/1K_SrfyQXDNcl5UVETvGMAvEDUHr5HCmSgfuNiyo2M-k"", ""S61!B1:B22"")"),"Korie Hall")</f>
        <v>Korie Hall</v>
      </c>
      <c r="D1" s="2" t="s">
        <v>0</v>
      </c>
    </row>
    <row r="2" spans="1:4" ht="15.75" customHeight="1" x14ac:dyDescent="0.15">
      <c r="A2" s="3" t="s">
        <v>1</v>
      </c>
      <c r="B2" s="4" t="str">
        <f ca="1">IFERROR(__xludf.DUMMYFUNCTION("""COMPUTED_VALUE"""),"38785 - 38970 FOR")</f>
        <v>38785 - 38970 FOR</v>
      </c>
      <c r="C2" s="4" t="str">
        <f ca="1">IFERROR(__xludf.DUMMYFUNCTION("""COMPUTED_VALUE"""),"Start: 38785 / Stop: 38970")</f>
        <v>Start: 38785 / Stop: 38970</v>
      </c>
      <c r="D2" s="4"/>
    </row>
    <row r="3" spans="1:4" ht="15.75" customHeight="1" x14ac:dyDescent="0.15">
      <c r="A3" s="5" t="s">
        <v>2</v>
      </c>
      <c r="B3" s="6" t="str">
        <f ca="1">IFERROR(__xludf.DUMMYFUNCTION("""COMPUTED_VALUE"""),"59 in DNA Master
61 on Phamerator map")</f>
        <v>59 in DNA Master
61 on Phamerator map</v>
      </c>
      <c r="C3" s="6" t="str">
        <f ca="1">IFERROR(__xludf.DUMMYFUNCTION("""COMPUTED_VALUE"""),"DNA Master: Gene 59 / Phamerator: Gene 61")</f>
        <v>DNA Master: Gene 59 / Phamerator: Gene 61</v>
      </c>
      <c r="D3" s="6"/>
    </row>
    <row r="4" spans="1:4" ht="15.75" customHeight="1" x14ac:dyDescent="0.15">
      <c r="A4" s="5" t="s">
        <v>3</v>
      </c>
      <c r="B4" s="6" t="str">
        <f ca="1">IFERROR(__xludf.DUMMYFUNCTION("""COMPUTED_VALUE"""),"194244 4/15/2025")</f>
        <v>194244 4/15/2025</v>
      </c>
      <c r="C4" s="6">
        <f ca="1">IFERROR(__xludf.DUMMYFUNCTION("""COMPUTED_VALUE"""),194244)</f>
        <v>194244</v>
      </c>
      <c r="D4" s="6"/>
    </row>
    <row r="5" spans="1:4" ht="15.75" customHeight="1" x14ac:dyDescent="0.15">
      <c r="A5" s="5" t="s">
        <v>4</v>
      </c>
      <c r="B5" s="6" t="str">
        <f ca="1">IFERROR(__xludf.DUMMYFUNCTION("""COMPUTED_VALUE"""),"Nandita 60")</f>
        <v>Nandita 60</v>
      </c>
      <c r="C5" s="6" t="str">
        <f ca="1">IFERROR(__xludf.DUMMYFUNCTION("""COMPUTED_VALUE"""),"Nandita_60")</f>
        <v>Nandita_60</v>
      </c>
      <c r="D5" s="6"/>
    </row>
    <row r="6" spans="1:4" ht="15.75" customHeight="1" x14ac:dyDescent="0.15">
      <c r="A6" s="5" t="s">
        <v>5</v>
      </c>
      <c r="B6" s="6" t="str">
        <f ca="1">IFERROR(__xludf.DUMMYFUNCTION("""COMPUTED_VALUE"""),"Both programs call this gene")</f>
        <v>Both programs call this gene</v>
      </c>
      <c r="C6" s="6" t="str">
        <f ca="1">IFERROR(__xludf.DUMMYFUNCTION("""COMPUTED_VALUE"""),"Glimmer and GeneMark call @38785")</f>
        <v>Glimmer and GeneMark call @38785</v>
      </c>
      <c r="D6" s="6"/>
    </row>
    <row r="7" spans="1:4" ht="15.75" customHeight="1" x14ac:dyDescent="0.15">
      <c r="A7" s="5" t="s">
        <v>6</v>
      </c>
      <c r="B7" s="6" t="str">
        <f ca="1">IFERROR(__xludf.DUMMYFUNCTION("""COMPUTED_VALUE"""),"Does have coding potential and all is captured.")</f>
        <v>Does have coding potential and all is captured.</v>
      </c>
      <c r="C7" s="6" t="str">
        <f ca="1">IFERROR(__xludf.DUMMYFUNCTION("""COMPUTED_VALUE"""),"Gene catches all good coding potential ")</f>
        <v xml:space="preserve">Gene catches all good coding potential </v>
      </c>
      <c r="D7" s="6"/>
    </row>
    <row r="8" spans="1:4" ht="15.75" customHeight="1" x14ac:dyDescent="0.15">
      <c r="A8" s="5" t="s">
        <v>7</v>
      </c>
      <c r="B8" s="6" t="str">
        <f ca="1">IFERROR(__xludf.DUMMYFUNCTION("""COMPUTED_VALUE"""),"Longest ORF")</f>
        <v>Longest ORF</v>
      </c>
      <c r="C8" s="6" t="str">
        <f ca="1">IFERROR(__xludf.DUMMYFUNCTION("""COMPUTED_VALUE"""),"Yes")</f>
        <v>Yes</v>
      </c>
      <c r="D8" s="6"/>
    </row>
    <row r="9" spans="1:4" ht="15.75" customHeight="1" x14ac:dyDescent="0.15">
      <c r="A9" s="5" t="s">
        <v>8</v>
      </c>
      <c r="B9" s="6" t="str">
        <f ca="1">IFERROR(__xludf.DUMMYFUNCTION("""COMPUTED_VALUE"""),"3 bp overlap.")</f>
        <v>3 bp overlap.</v>
      </c>
      <c r="C9" s="6" t="str">
        <f ca="1">IFERROR(__xludf.DUMMYFUNCTION("""COMPUTED_VALUE"""),"3 bp overlap with Gene 60")</f>
        <v>3 bp overlap with Gene 60</v>
      </c>
      <c r="D9" s="6"/>
    </row>
    <row r="10" spans="1:4" ht="15.75" customHeight="1" x14ac:dyDescent="0.15">
      <c r="A10" s="5" t="s">
        <v>9</v>
      </c>
      <c r="B10" s="6" t="str">
        <f ca="1">IFERROR(__xludf.DUMMYFUNCTION("""COMPUTED_VALUE"""),"Z-score is 2.762 with final score of -2.968. This is best score.")</f>
        <v>Z-score is 2.762 with final score of -2.968. This is best score.</v>
      </c>
      <c r="C10" s="6" t="str">
        <f ca="1">IFERROR(__xludf.DUMMYFUNCTION("""COMPUTED_VALUE"""),"Z-score: 2.778 / Final score: -2.968")</f>
        <v>Z-score: 2.778 / Final score: -2.968</v>
      </c>
      <c r="D10" s="6"/>
    </row>
    <row r="11" spans="1:4" ht="15.75" customHeight="1" x14ac:dyDescent="0.15">
      <c r="A11" s="5" t="s">
        <v>10</v>
      </c>
      <c r="B11" s="6" t="str">
        <f ca="1">IFERROR(__xludf.DUMMYFUNCTION("""COMPUTED_VALUE"""),"Nandita 60 % identity is 96.72% with e value 4.22e-34 q1:s1")</f>
        <v>Nandita 60 % identity is 96.72% with e value 4.22e-34 q1:s1</v>
      </c>
      <c r="C11" s="6" t="str">
        <f ca="1">IFERROR(__xludf.DUMMYFUNCTION("""COMPUTED_VALUE"""),"Nandita_60 - % identity: 97% / e-value: 4e-34 / q1:s1")</f>
        <v>Nandita_60 - % identity: 97% / e-value: 4e-34 / q1:s1</v>
      </c>
      <c r="D11" s="6"/>
    </row>
    <row r="12" spans="1:4" ht="15.75" customHeight="1" x14ac:dyDescent="0.15">
      <c r="A12" s="5" t="s">
        <v>11</v>
      </c>
      <c r="B12" s="6" t="str">
        <f ca="1">IFERROR(__xludf.DUMMYFUNCTION("""COMPUTED_VALUE"""),"Many members of this pham call start 18 and is called 100% of time when present.")</f>
        <v>Many members of this pham call start 18 and is called 100% of time when present.</v>
      </c>
      <c r="C12" s="6" t="str">
        <f ca="1">IFERROR(__xludf.DUMMYFUNCTION("""COMPUTED_VALUE"""),"Found in 30 of 41 members in the pham / Called 100% of the time")</f>
        <v>Found in 30 of 41 members in the pham / Called 100% of the time</v>
      </c>
      <c r="D12" s="6"/>
    </row>
    <row r="13" spans="1:4" ht="15.75" customHeight="1" x14ac:dyDescent="0.15">
      <c r="A13" s="5" t="s">
        <v>12</v>
      </c>
      <c r="B13" s="6" t="str">
        <f ca="1">IFERROR(__xludf.DUMMYFUNCTION("""COMPUTED_VALUE"""),"No start change because of great z-score and starterator map.")</f>
        <v>No start change because of great z-score and starterator map.</v>
      </c>
      <c r="C13" s="6" t="str">
        <f ca="1">IFERROR(__xludf.DUMMYFUNCTION("""COMPUTED_VALUE"""),"Start should remain. Most called start and has good data as is")</f>
        <v>Start should remain. Most called start and has good data as is</v>
      </c>
      <c r="D13" s="6"/>
    </row>
    <row r="14" spans="1:4" ht="15.75" customHeight="1" x14ac:dyDescent="0.15">
      <c r="A14" s="5" t="s">
        <v>13</v>
      </c>
      <c r="B14" s="6" t="str">
        <f ca="1">IFERROR(__xludf.DUMMYFUNCTION("""COMPUTED_VALUE"""),"Nandita 60 e value 7e-27")</f>
        <v>Nandita 60 e value 7e-27</v>
      </c>
      <c r="C14" s="6" t="str">
        <f ca="1">IFERROR(__xludf.DUMMYFUNCTION("""COMPUTED_VALUE"""),"Nandita_60 - e-value: 7e-27")</f>
        <v>Nandita_60 - e-value: 7e-27</v>
      </c>
      <c r="D14" s="6"/>
    </row>
    <row r="15" spans="1:4" ht="15.75" customHeight="1" x14ac:dyDescent="0.15">
      <c r="A15" s="5" t="s">
        <v>14</v>
      </c>
      <c r="B15" s="6" t="str">
        <f ca="1">IFERROR(__xludf.DUMMYFUNCTION("""COMPUTED_VALUE"""),"Nandita 60 unknown")</f>
        <v>Nandita 60 unknown</v>
      </c>
      <c r="C15" s="6" t="str">
        <f ca="1">IFERROR(__xludf.DUMMYFUNCTION("""COMPUTED_VALUE"""),"Function Unknown")</f>
        <v>Function Unknown</v>
      </c>
      <c r="D15" s="6"/>
    </row>
    <row r="16" spans="1:4" ht="15.75" customHeight="1" x14ac:dyDescent="0.15">
      <c r="A16" s="5" t="s">
        <v>15</v>
      </c>
      <c r="B16" s="6" t="str">
        <f ca="1">IFERROR(__xludf.DUMMYFUNCTION("""COMPUTED_VALUE"""),"Synteny would be expected because of Schism 61 being adjacent to Nandita 60.")</f>
        <v>Synteny would be expected because of Schism 61 being adjacent to Nandita 60.</v>
      </c>
      <c r="C16" s="6" t="str">
        <f ca="1">IFERROR(__xludf.DUMMYFUNCTION("""COMPUTED_VALUE"""),"Function is to be as expected / adjacent to Nandita_60 ")</f>
        <v xml:space="preserve">Function is to be as expected / adjacent to Nandita_60 </v>
      </c>
      <c r="D16" s="6"/>
    </row>
    <row r="17" spans="1:4" ht="15.75" customHeight="1" x14ac:dyDescent="0.15">
      <c r="A17" s="5" t="s">
        <v>16</v>
      </c>
      <c r="B17" s="6" t="str">
        <f ca="1">IFERROR(__xludf.DUMMYFUNCTION("""COMPUTED_VALUE"""),"protein HP0035; Helicobacter pylori Unknown-function, Structural Genomics, PSI-2, Protein Structure Initiative, Midwest Center for Structural Genomics, MCSG, unknown; HET: MSE, EDO; 1.78A {Helicobacter pylori} SCOP: d.222.1.0, probability is 85.55%, align"&amp;"ment of query is 65.57% and alignment of target is 40.40%.   Functional domain is not in target part of alignment.")</f>
        <v>protein HP0035; Helicobacter pylori Unknown-function, Structural Genomics, PSI-2, Protein Structure Initiative, Midwest Center for Structural Genomics, MCSG, unknown; HET: MSE, EDO; 1.78A {Helicobacter pylori} SCOP: d.222.1.0, probability is 85.55%, alignment of query is 65.57% and alignment of target is 40.40%.   Functional domain is not in target part of alignment.</v>
      </c>
      <c r="C17" s="6" t="str">
        <f ca="1">IFERROR(__xludf.DUMMYFUNCTION("""COMPUTED_VALUE"""),"There were no reliable hits to provide further solid evidence about the gene.")</f>
        <v>There were no reliable hits to provide further solid evidence about the gene.</v>
      </c>
      <c r="D17" s="6"/>
    </row>
    <row r="18" spans="1:4" ht="15.75" customHeight="1" x14ac:dyDescent="0.15">
      <c r="A18" s="5" t="s">
        <v>17</v>
      </c>
      <c r="B18" s="6" t="str">
        <f ca="1">IFERROR(__xludf.DUMMYFUNCTION("""COMPUTED_VALUE"""),"Unknown")</f>
        <v>Unknown</v>
      </c>
      <c r="C18" s="6" t="str">
        <f ca="1">IFERROR(__xludf.DUMMYFUNCTION("""COMPUTED_VALUE"""),"No conserved domain identified")</f>
        <v>No conserved domain identified</v>
      </c>
      <c r="D18" s="6"/>
    </row>
    <row r="19" spans="1:4" ht="15.75" customHeight="1" x14ac:dyDescent="0.15">
      <c r="A19" s="5" t="s">
        <v>18</v>
      </c>
      <c r="B19" s="6" t="str">
        <f ca="1">IFERROR(__xludf.DUMMYFUNCTION("""COMPUTED_VALUE"""),"None.")</f>
        <v>None.</v>
      </c>
      <c r="C19" s="6" t="str">
        <f ca="1">IFERROR(__xludf.DUMMYFUNCTION("""COMPUTED_VALUE"""),"No membrane protein identified")</f>
        <v>No membrane protein identified</v>
      </c>
      <c r="D19" s="6"/>
    </row>
    <row r="20" spans="1:4" ht="15.75" customHeight="1" x14ac:dyDescent="0.15">
      <c r="A20" s="5" t="s">
        <v>19</v>
      </c>
      <c r="B20" s="6" t="str">
        <f ca="1">IFERROR(__xludf.DUMMYFUNCTION("""COMPUTED_VALUE"""),"Hypothetical protein because of the NCBI blast, PhagesDB and HHPred. All matches were to unknown functions and not in target part of alignment to officially be claimed to a function.")</f>
        <v>Hypothetical protein because of the NCBI blast, PhagesDB and HHPred. All matches were to unknown functions and not in target part of alignment to officially be claimed to a function.</v>
      </c>
      <c r="C20" s="6" t="str">
        <f ca="1">IFERROR(__xludf.DUMMYFUNCTION("""COMPUTED_VALUE"""),"Hypothetical Protein / Function Unknown ( Rationale: There is not enough reliable information to provide a concrete function for the gene. Given the rest of the members in the pham are a unknown function--even with the ones having a identified function th"&amp;"e e-values aren't the best--it can be presumed that for now there is a hypothetical protein. ) ")</f>
        <v xml:space="preserve">Hypothetical Protein / Function Unknown ( Rationale: There is not enough reliable information to provide a concrete function for the gene. Given the rest of the members in the pham are a unknown function--even with the ones having a identified function the e-values aren't the best--it can be presumed that for now there is a hypothetical protein. ) </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IFERROR(__xludf.DUMMYFUNCTION("IMPORTRANGE(""https://docs.google.com/spreadsheets/d/14y37YetMnZx9r75GG6HNm6HxdMfX_704WhJDUt8FSgU"", ""S62!B1:B22"")"),"Braden Brennan")</f>
        <v>Braden Brennan</v>
      </c>
      <c r="C1" s="10" t="str">
        <f ca="1">IFERROR(__xludf.DUMMYFUNCTION("IMPORTRANGE(""https://docs.google.com/spreadsheets/d/1K_SrfyQXDNcl5UVETvGMAvEDUHr5HCmSgfuNiyo2M-k"", ""S62!B1:B22"")"),"Put Your Name Here")</f>
        <v>Put Your Name Here</v>
      </c>
      <c r="D1" s="2" t="s">
        <v>0</v>
      </c>
    </row>
    <row r="2" spans="1:4" ht="15.75" customHeight="1" x14ac:dyDescent="0.15">
      <c r="A2" s="3" t="s">
        <v>1</v>
      </c>
      <c r="B2" s="4" t="str">
        <f ca="1">IFERROR(__xludf.DUMMYFUNCTION("""COMPUTED_VALUE"""),"38985 - 39236")</f>
        <v>38985 - 39236</v>
      </c>
      <c r="C2" s="4"/>
      <c r="D2" s="4"/>
    </row>
    <row r="3" spans="1:4" ht="15.75" customHeight="1" x14ac:dyDescent="0.15">
      <c r="A3" s="5" t="s">
        <v>2</v>
      </c>
      <c r="B3" s="6" t="str">
        <f ca="1">IFERROR(__xludf.DUMMYFUNCTION("""COMPUTED_VALUE"""),"PHAM: 62      DNAM: 60")</f>
        <v>PHAM: 62      DNAM: 60</v>
      </c>
      <c r="C3" s="6"/>
      <c r="D3" s="6"/>
    </row>
    <row r="4" spans="1:4" ht="15.75" customHeight="1" x14ac:dyDescent="0.15">
      <c r="A4" s="5" t="s">
        <v>3</v>
      </c>
      <c r="B4" s="6" t="str">
        <f ca="1">IFERROR(__xludf.DUMMYFUNCTION("""COMPUTED_VALUE"""),"pham 224637     4/18/2025")</f>
        <v>pham 224637     4/18/2025</v>
      </c>
      <c r="C4" s="6"/>
      <c r="D4" s="6"/>
    </row>
    <row r="5" spans="1:4" ht="15.75" customHeight="1" x14ac:dyDescent="0.15">
      <c r="A5" s="5" t="s">
        <v>4</v>
      </c>
      <c r="B5" s="6"/>
      <c r="C5" s="6"/>
      <c r="D5" s="6"/>
    </row>
    <row r="6" spans="1:4" ht="15.75" customHeight="1" x14ac:dyDescent="0.15">
      <c r="A6" s="5" t="s">
        <v>5</v>
      </c>
      <c r="B6" s="6" t="str">
        <f ca="1">IFERROR(__xludf.DUMMYFUNCTION("""COMPUTED_VALUE"""),"Original Glimmer call @bp 38985 has strength 10.00; GeneMark calls start at 38967")</f>
        <v>Original Glimmer call @bp 38985 has strength 10.00; GeneMark calls start at 38967</v>
      </c>
      <c r="C6" s="6"/>
      <c r="D6" s="6"/>
    </row>
    <row r="7" spans="1:4" ht="15.75" customHeight="1" x14ac:dyDescent="0.15">
      <c r="A7" s="5" t="s">
        <v>6</v>
      </c>
      <c r="B7" s="6" t="str">
        <f ca="1">IFERROR(__xludf.DUMMYFUNCTION("""COMPUTED_VALUE"""),"good coding potential")</f>
        <v>good coding potential</v>
      </c>
      <c r="C7" s="6"/>
      <c r="D7" s="6"/>
    </row>
    <row r="8" spans="1:4" ht="15.75" customHeight="1" x14ac:dyDescent="0.15">
      <c r="A8" s="5" t="s">
        <v>7</v>
      </c>
      <c r="B8" s="6" t="str">
        <f ca="1">IFERROR(__xludf.DUMMYFUNCTION("""COMPUTED_VALUE"""),"Not quite")</f>
        <v>Not quite</v>
      </c>
      <c r="C8" s="6"/>
      <c r="D8" s="6"/>
    </row>
    <row r="9" spans="1:4" ht="15.75" customHeight="1" x14ac:dyDescent="0.15">
      <c r="A9" s="5" t="s">
        <v>8</v>
      </c>
      <c r="B9" s="6" t="str">
        <f ca="1">IFERROR(__xludf.DUMMYFUNCTION("""COMPUTED_VALUE"""),"15 nucleotide gap")</f>
        <v>15 nucleotide gap</v>
      </c>
      <c r="C9" s="6"/>
      <c r="D9" s="6"/>
    </row>
    <row r="10" spans="1:4" ht="15.75" customHeight="1" x14ac:dyDescent="0.15">
      <c r="A10" s="5" t="s">
        <v>9</v>
      </c>
      <c r="B10" s="6" t="str">
        <f ca="1">IFERROR(__xludf.DUMMYFUNCTION("""COMPUTED_VALUE"""),"SD: -3.784) Z: 2.047) FINAL: -5.005")</f>
        <v>SD: -3.784) Z: 2.047) FINAL: -5.005</v>
      </c>
      <c r="C10" s="6"/>
      <c r="D10" s="6"/>
    </row>
    <row r="11" spans="1:4" ht="15.75" customHeight="1" x14ac:dyDescent="0.15">
      <c r="A11" s="5" t="s">
        <v>10</v>
      </c>
      <c r="B11" s="6" t="str">
        <f ca="1">IFERROR(__xludf.DUMMYFUNCTION("""COMPUTED_VALUE"""),"hypothetical protein SEA_GUSANITA_61) 91.01% identity) 2.69706e-48          DNA binding protein [Arthrobacter phage QuinnAvery] 89.88% identity)")</f>
        <v>hypothetical protein SEA_GUSANITA_61) 91.01% identity) 2.69706e-48          DNA binding protein [Arthrobacter phage QuinnAvery] 89.88% identity)</v>
      </c>
      <c r="C11" s="6"/>
      <c r="D11" s="6"/>
    </row>
    <row r="12" spans="1:4" ht="15.75" customHeight="1" x14ac:dyDescent="0.15">
      <c r="A12" s="5" t="s">
        <v>11</v>
      </c>
      <c r="B12" s="6" t="str">
        <f ca="1">IFERROR(__xludf.DUMMYFUNCTION("""COMPUTED_VALUE"""),"• Found in 10 of 54 ( 18.5% ) of genes in pham called 20% the time")</f>
        <v>• Found in 10 of 54 ( 18.5% ) of genes in pham called 20% the time</v>
      </c>
      <c r="C12" s="6"/>
      <c r="D12" s="6"/>
    </row>
    <row r="13" spans="1:4" ht="15.75" customHeight="1" x14ac:dyDescent="0.15">
      <c r="A13" s="5" t="s">
        <v>12</v>
      </c>
      <c r="B13" s="6" t="str">
        <f ca="1">IFERROR(__xludf.DUMMYFUNCTION("""COMPUTED_VALUE"""),"No but is very convincing ")</f>
        <v xml:space="preserve">No but is very convincing </v>
      </c>
      <c r="C13" s="6"/>
      <c r="D13" s="6"/>
    </row>
    <row r="14" spans="1:4" ht="15.75" customHeight="1" x14ac:dyDescent="0.15">
      <c r="A14" s="5" t="s">
        <v>13</v>
      </c>
      <c r="B14" s="6" t="str">
        <f ca="1">IFERROR(__xludf.DUMMYFUNCTION("""COMPUTED_VALUE"""),"Gusanita - 61 - function unknown                    QuinnAvery - 63 - DNA binding protein")</f>
        <v>Gusanita - 61 - function unknown                    QuinnAvery - 63 - DNA binding protein</v>
      </c>
      <c r="C14" s="6"/>
      <c r="D14" s="6"/>
    </row>
    <row r="15" spans="1:4" ht="15.75" customHeight="1" x14ac:dyDescent="0.15">
      <c r="A15" s="5" t="s">
        <v>14</v>
      </c>
      <c r="B15" s="6" t="str">
        <f ca="1">IFERROR(__xludf.DUMMYFUNCTION("""COMPUTED_VALUE"""),"DUF and Binding proteins")</f>
        <v>DUF and Binding proteins</v>
      </c>
      <c r="C15" s="6"/>
      <c r="D15" s="6"/>
    </row>
    <row r="16" spans="1:4" ht="15.75" customHeight="1" x14ac:dyDescent="0.15">
      <c r="A16" s="5" t="s">
        <v>15</v>
      </c>
      <c r="B16" s="6" t="str">
        <f ca="1">IFERROR(__xludf.DUMMYFUNCTION("""COMPUTED_VALUE"""),"Fits well in the sequences ")</f>
        <v xml:space="preserve">Fits well in the sequences </v>
      </c>
      <c r="C16" s="6"/>
      <c r="D16" s="6"/>
    </row>
    <row r="17" spans="1:4" ht="15.75" customHeight="1" x14ac:dyDescent="0.15">
      <c r="A17" s="5" t="s">
        <v>16</v>
      </c>
      <c r="B17" s="6" t="str">
        <f ca="1">IFERROR(__xludf.DUMMYFUNCTION("""COMPUTED_VALUE"""),"Middle operon regulator - 94.6% probability")</f>
        <v>Middle operon regulator - 94.6% probability</v>
      </c>
      <c r="C17" s="6"/>
      <c r="D17" s="6"/>
    </row>
    <row r="18" spans="1:4" ht="15.75" customHeight="1" x14ac:dyDescent="0.15">
      <c r="A18" s="5" t="s">
        <v>17</v>
      </c>
      <c r="B18" s="6" t="str">
        <f ca="1">IFERROR(__xludf.DUMMYFUNCTION("""COMPUTED_VALUE"""),"No conserve domains listed ")</f>
        <v xml:space="preserve">No conserve domains listed </v>
      </c>
      <c r="C18" s="6"/>
      <c r="D18" s="6"/>
    </row>
    <row r="19" spans="1:4" ht="15.75" customHeight="1" x14ac:dyDescent="0.15">
      <c r="A19" s="5" t="s">
        <v>18</v>
      </c>
      <c r="B19" s="6" t="str">
        <f ca="1">IFERROR(__xludf.DUMMYFUNCTION("""COMPUTED_VALUE"""),"Interior protein with a probability of one")</f>
        <v>Interior protein with a probability of one</v>
      </c>
      <c r="C19" s="6"/>
      <c r="D19" s="6"/>
    </row>
    <row r="20" spans="1:4" ht="15.75" customHeight="1" x14ac:dyDescent="0.15">
      <c r="A20" s="5" t="s">
        <v>19</v>
      </c>
      <c r="B20" s="6" t="str">
        <f ca="1">IFERROR(__xludf.DUMMYFUNCTION("""COMPUTED_VALUE"""),"Probably a kind of Binding protein because the only other kinds listed are DUFs")</f>
        <v>Probably a kind of Binding protein because the only other kinds listed are DUFs</v>
      </c>
      <c r="C20" s="6"/>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IFERROR(__xludf.DUMMYFUNCTION("IMPORTRANGE(""https://docs.google.com/spreadsheets/d/118rN356SVQ9wRlO8Wn-8gpg7SdHsE4vm-XldkW2-iEo"", ""S63!B1:B22"")"),"McKinzie Novak")</f>
        <v>McKinzie Novak</v>
      </c>
      <c r="C1" s="11" t="str">
        <f ca="1">IFERROR(__xludf.DUMMYFUNCTION("IMPORTRANGE(""https://docs.google.com/spreadsheets/d/1NBZgc2wQWlGwpwt7AcCySCDz0bod7B0VKf0lrtlBP8Q"", ""S63!B1:B22"")"),"Jackson Root")</f>
        <v>Jackson Root</v>
      </c>
      <c r="D1" s="2" t="s">
        <v>0</v>
      </c>
    </row>
    <row r="2" spans="1:4" ht="15.75" customHeight="1" x14ac:dyDescent="0.15">
      <c r="A2" s="3" t="s">
        <v>1</v>
      </c>
      <c r="B2" s="4" t="str">
        <f ca="1">IFERROR(__xludf.DUMMYFUNCTION("""COMPUTED_VALUE"""),"START: 39233 
STOP: 39526
FORWARD")</f>
        <v>START: 39233 
STOP: 39526
FORWARD</v>
      </c>
      <c r="C2" s="4" t="str">
        <f ca="1">IFERROR(__xludf.DUMMYFUNCTION("""COMPUTED_VALUE"""),"Start: 39233    Stop: 39526    Forward")</f>
        <v>Start: 39233    Stop: 39526    Forward</v>
      </c>
      <c r="D2" s="4"/>
    </row>
    <row r="3" spans="1:4" ht="15.75" customHeight="1" x14ac:dyDescent="0.15">
      <c r="A3" s="5" t="s">
        <v>2</v>
      </c>
      <c r="B3" s="6" t="str">
        <f ca="1">IFERROR(__xludf.DUMMYFUNCTION("""COMPUTED_VALUE"""),"DNAM: 61
PHAM: 63      PECAAN: 61
Phagesdb: 63")</f>
        <v>DNAM: 61
PHAM: 63      PECAAN: 61
Phagesdb: 63</v>
      </c>
      <c r="C3" s="6" t="str">
        <f ca="1">IFERROR(__xludf.DUMMYFUNCTION("""COMPUTED_VALUE"""),"Pham: 63    DNA: 61")</f>
        <v>Pham: 63    DNA: 61</v>
      </c>
      <c r="D3" s="6"/>
    </row>
    <row r="4" spans="1:4" ht="15.75" customHeight="1" x14ac:dyDescent="0.15">
      <c r="A4" s="5" t="s">
        <v>3</v>
      </c>
      <c r="B4" s="6" t="str">
        <f ca="1">IFERROR(__xludf.DUMMYFUNCTION("""COMPUTED_VALUE"""),"#140317    4/18/25")</f>
        <v>#140317    4/18/25</v>
      </c>
      <c r="C4" s="6" t="str">
        <f ca="1">IFERROR(__xludf.DUMMYFUNCTION("""COMPUTED_VALUE"""),"pham 140317  04/16/25")</f>
        <v>pham 140317  04/16/25</v>
      </c>
      <c r="D4" s="6"/>
    </row>
    <row r="5" spans="1:4" ht="15.75" customHeight="1" x14ac:dyDescent="0.15">
      <c r="A5" s="5" t="s">
        <v>4</v>
      </c>
      <c r="B5" s="6" t="str">
        <f ca="1">IFERROR(__xludf.DUMMYFUNCTION("""COMPUTED_VALUE"""),"Popper #63, Frankenweenie #242")</f>
        <v>Popper #63, Frankenweenie #242</v>
      </c>
      <c r="C5" s="6" t="str">
        <f ca="1">IFERROR(__xludf.DUMMYFUNCTION("""COMPUTED_VALUE"""),"Nirvana_254, Kradal_222")</f>
        <v>Nirvana_254, Kradal_222</v>
      </c>
      <c r="D5" s="6"/>
    </row>
    <row r="6" spans="1:4" ht="15.75" customHeight="1" x14ac:dyDescent="0.15">
      <c r="A6" s="5" t="s">
        <v>5</v>
      </c>
      <c r="B6" s="6" t="str">
        <f ca="1">IFERROR(__xludf.DUMMYFUNCTION("""COMPUTED_VALUE"""),"Yes, glimmer and genemark both call the start at 39233")</f>
        <v>Yes, glimmer and genemark both call the start at 39233</v>
      </c>
      <c r="C6" s="6" t="str">
        <f ca="1">IFERROR(__xludf.DUMMYFUNCTION("""COMPUTED_VALUE"""),"Both call 39233")</f>
        <v>Both call 39233</v>
      </c>
      <c r="D6" s="6"/>
    </row>
    <row r="7" spans="1:4" ht="15.75" customHeight="1" x14ac:dyDescent="0.15">
      <c r="A7" s="5" t="s">
        <v>6</v>
      </c>
      <c r="B7" s="6" t="str">
        <f ca="1">IFERROR(__xludf.DUMMYFUNCTION("""COMPUTED_VALUE"""),"There is relatively good coding potential, its a little spiky, but this called start does not seem to capture all of the coding potential even though it is the earliest start")</f>
        <v>There is relatively good coding potential, its a little spiky, but this called start does not seem to capture all of the coding potential even though it is the earliest start</v>
      </c>
      <c r="C7" s="6" t="str">
        <f ca="1">IFERROR(__xludf.DUMMYFUNCTION("""COMPUTED_VALUE"""),"There is coding potential, not all potnetial captured bu there is no other start")</f>
        <v>There is coding potential, not all potnetial captured bu there is no other start</v>
      </c>
      <c r="D7" s="6"/>
    </row>
    <row r="8" spans="1:4" ht="15.75" customHeight="1" x14ac:dyDescent="0.15">
      <c r="A8" s="5" t="s">
        <v>7</v>
      </c>
      <c r="B8" s="6" t="str">
        <f ca="1">IFERROR(__xludf.DUMMYFUNCTION("""COMPUTED_VALUE"""),"Yes this start is the longest open reading frame")</f>
        <v>Yes this start is the longest open reading frame</v>
      </c>
      <c r="C8" s="6" t="str">
        <f ca="1">IFERROR(__xludf.DUMMYFUNCTION("""COMPUTED_VALUE"""),"This is the longest ORF")</f>
        <v>This is the longest ORF</v>
      </c>
      <c r="D8" s="6"/>
    </row>
    <row r="9" spans="1:4" ht="15.75" customHeight="1" x14ac:dyDescent="0.15">
      <c r="A9" s="5" t="s">
        <v>8</v>
      </c>
      <c r="B9" s="6" t="str">
        <f ca="1">IFERROR(__xludf.DUMMYFUNCTION("""COMPUTED_VALUE"""),"This start has a 4 basepair overlap with the previous gene")</f>
        <v>This start has a 4 basepair overlap with the previous gene</v>
      </c>
      <c r="C9" s="6" t="str">
        <f ca="1">IFERROR(__xludf.DUMMYFUNCTION("""COMPUTED_VALUE"""),"3 bp overlap with previous")</f>
        <v>3 bp overlap with previous</v>
      </c>
      <c r="D9" s="6"/>
    </row>
    <row r="10" spans="1:4" ht="15.75" customHeight="1" x14ac:dyDescent="0.15">
      <c r="A10" s="5" t="s">
        <v>9</v>
      </c>
      <c r="B10" s="6" t="str">
        <f ca="1">IFERROR(__xludf.DUMMYFUNCTION("""COMPUTED_VALUE"""),"Start: 39233
z-score: 2.126 rbs: -4.661")</f>
        <v>Start: 39233
z-score: 2.126 rbs: -4.661</v>
      </c>
      <c r="C10" s="6" t="str">
        <f ca="1">IFERROR(__xludf.DUMMYFUNCTION("""COMPUTED_VALUE"""),"This is the best RBS sciore Z: 2.140")</f>
        <v>This is the best RBS sciore Z: 2.140</v>
      </c>
      <c r="D10" s="6"/>
    </row>
    <row r="11" spans="1:4" ht="15.75" customHeight="1" x14ac:dyDescent="0.15">
      <c r="A11" s="5" t="s">
        <v>10</v>
      </c>
      <c r="B11" s="6" t="str">
        <f ca="1">IFERROR(__xludf.DUMMYFUNCTION("""COMPUTED_VALUE"""),"Popper #63
%ID: 63.5 eval: 3e-40
Q:1 S:1
Frankenweenie #242
%ID: 35.85 eval: 5e-9
Q:1 S:6")</f>
        <v>Popper #63
%ID: 63.5 eval: 3e-40
Q:1 S:1
Frankenweenie #242
%ID: 35.85 eval: 5e-9
Q:1 S:6</v>
      </c>
      <c r="C11" s="6" t="str">
        <f ca="1">IFERROR(__xludf.DUMMYFUNCTION("""COMPUTED_VALUE"""),"Best hit was Phage Popper; E-val: 0.0e0; Q: 1-98; T: 1-98")</f>
        <v>Best hit was Phage Popper; E-val: 0.0e0; Q: 1-98; T: 1-98</v>
      </c>
      <c r="D11" s="6"/>
    </row>
    <row r="12" spans="1:4" ht="15.75" customHeight="1" x14ac:dyDescent="0.15">
      <c r="A12" s="5" t="s">
        <v>11</v>
      </c>
      <c r="B12" s="6" t="str">
        <f ca="1">IFERROR(__xludf.DUMMYFUNCTION("""COMPUTED_VALUE"""),"Schism calls a start at (#3), whilst others call earlier starts, but schism does not have an earlier start, so this makes sense.")</f>
        <v>Schism calls a start at (#3), whilst others call earlier starts, but schism does not have an earlier start, so this makes sense.</v>
      </c>
      <c r="C12" s="6" t="str">
        <f ca="1">IFERROR(__xludf.DUMMYFUNCTION("""COMPUTED_VALUE"""),"start found in 7/10, called 28.6% when present (most other phages have a start further up, it appears that Schism does not) ")</f>
        <v xml:space="preserve">start found in 7/10, called 28.6% when present (most other phages have a start further up, it appears that Schism does not) </v>
      </c>
      <c r="D12" s="6"/>
    </row>
    <row r="13" spans="1:4" ht="15.75" customHeight="1" x14ac:dyDescent="0.15">
      <c r="A13" s="5" t="s">
        <v>12</v>
      </c>
      <c r="B13" s="6" t="str">
        <f ca="1">IFERROR(__xludf.DUMMYFUNCTION("""COMPUTED_VALUE"""),"No, moving the start will cut out coding potential and the one that is called has the best z-score.")</f>
        <v>No, moving the start will cut out coding potential and the one that is called has the best z-score.</v>
      </c>
      <c r="C13" s="6" t="str">
        <f ca="1">IFERROR(__xludf.DUMMYFUNCTION("""COMPUTED_VALUE"""),"No start change")</f>
        <v>No start change</v>
      </c>
      <c r="D13" s="6"/>
    </row>
    <row r="14" spans="1:4" ht="15.75" customHeight="1" x14ac:dyDescent="0.15">
      <c r="A14" s="5" t="s">
        <v>13</v>
      </c>
      <c r="B14" s="6" t="str">
        <f ca="1">IFERROR(__xludf.DUMMYFUNCTION("""COMPUTED_VALUE"""),"Popper #63 eval: 3e-40
Frankenweenie #242 eval: 5e-9")</f>
        <v>Popper #63 eval: 3e-40
Frankenweenie #242 eval: 5e-9</v>
      </c>
      <c r="C14" s="6" t="str">
        <f ca="1">IFERROR(__xludf.DUMMYFUNCTION("""COMPUTED_VALUE"""),"Frankenweenie_242: 3e-50")</f>
        <v>Frankenweenie_242: 3e-50</v>
      </c>
      <c r="D14" s="6"/>
    </row>
    <row r="15" spans="1:4" ht="15.75" customHeight="1" x14ac:dyDescent="0.15">
      <c r="A15" s="5" t="s">
        <v>14</v>
      </c>
      <c r="B15" s="6" t="str">
        <f ca="1">IFERROR(__xludf.DUMMYFUNCTION("""COMPUTED_VALUE"""),"Popper #63 (hypothetical protein)
Frankenweenie #242 (hypotheical protein)")</f>
        <v>Popper #63 (hypothetical protein)
Frankenweenie #242 (hypotheical protein)</v>
      </c>
      <c r="C15" s="6" t="str">
        <f ca="1">IFERROR(__xludf.DUMMYFUNCTION("""COMPUTED_VALUE"""),"Frankenweenie_242: function unknown")</f>
        <v>Frankenweenie_242: function unknown</v>
      </c>
      <c r="D15" s="6"/>
    </row>
    <row r="16" spans="1:4" ht="15.75" customHeight="1" x14ac:dyDescent="0.15">
      <c r="A16" s="5" t="s">
        <v>15</v>
      </c>
      <c r="B16" s="6" t="str">
        <f ca="1">IFERROR(__xludf.DUMMYFUNCTION("""COMPUTED_VALUE"""),"This gene does not align very well with Nandita, but it fits well in its genetic environment because it is surrounded by adjacent hypothetical proteins as well.")</f>
        <v>This gene does not align very well with Nandita, but it fits well in its genetic environment because it is surrounded by adjacent hypothetical proteins as well.</v>
      </c>
      <c r="C16" s="6" t="str">
        <f ca="1">IFERROR(__xludf.DUMMYFUNCTION("""COMPUTED_VALUE"""),"Not found in Nandita; adjacent to Genes (pham) 62 and 64")</f>
        <v>Not found in Nandita; adjacent to Genes (pham) 62 and 64</v>
      </c>
      <c r="D16" s="6"/>
    </row>
    <row r="17" spans="1:4" ht="15.75" customHeight="1" x14ac:dyDescent="0.15">
      <c r="A17" s="5" t="s">
        <v>16</v>
      </c>
      <c r="B17" s="6" t="str">
        <f ca="1">IFERROR(__xludf.DUMMYFUNCTION("""COMPUTED_VALUE"""),"DESC: Uncharacterized protein yaiA; yaiA, Structural Genomics, PSI-2, Protein Structure Initiative, Northeast Structural Genomics Consortium, NESG, UNKNOWN FUNCTION; NMR {Escherichia coli}
Prob: 47.6 %alt: 43.7 %alq: 32
No, the entire functional domain is"&amp;" not included in the target part of the alignment")</f>
        <v>DESC: Uncharacterized protein yaiA; yaiA, Structural Genomics, PSI-2, Protein Structure Initiative, Northeast Structural Genomics Consortium, NESG, UNKNOWN FUNCTION; NMR {Escherichia coli}
Prob: 47.6 %alt: 43.7 %alq: 32
No, the entire functional domain is not included in the target part of the alignment</v>
      </c>
      <c r="C17" s="6" t="str">
        <f ca="1">IFERROR(__xludf.DUMMYFUNCTION("""COMPUTED_VALUE"""),"Best hits were more DUFs or uncharacterized protiens; Prob: 59.06%; %Q: 22.6%; %T: 24.2%, Function part of Alignment")</f>
        <v>Best hits were more DUFs or uncharacterized protiens; Prob: 59.06%; %Q: 22.6%; %T: 24.2%, Function part of Alignment</v>
      </c>
      <c r="D17" s="6"/>
    </row>
    <row r="18" spans="1:4" ht="15.75" customHeight="1" x14ac:dyDescent="0.15">
      <c r="A18" s="5" t="s">
        <v>17</v>
      </c>
      <c r="B18" s="6" t="str">
        <f ca="1">IFERROR(__xludf.DUMMYFUNCTION("""COMPUTED_VALUE"""),"none")</f>
        <v>none</v>
      </c>
      <c r="C18" s="6" t="str">
        <f ca="1">IFERROR(__xludf.DUMMYFUNCTION("""COMPUTED_VALUE"""),"no conserved domains")</f>
        <v>no conserved domains</v>
      </c>
      <c r="D18" s="6"/>
    </row>
    <row r="19" spans="1:4" ht="15.75" customHeight="1" x14ac:dyDescent="0.15">
      <c r="A19" s="5" t="s">
        <v>18</v>
      </c>
      <c r="B19" s="6" t="str">
        <f ca="1">IFERROR(__xludf.DUMMYFUNCTION("""COMPUTED_VALUE"""),"none")</f>
        <v>none</v>
      </c>
      <c r="C19" s="6" t="str">
        <f ca="1">IFERROR(__xludf.DUMMYFUNCTION("""COMPUTED_VALUE"""),"Not a membrane protien, most liekly inside the membrane")</f>
        <v>Not a membrane protien, most liekly inside the membrane</v>
      </c>
      <c r="D19" s="6"/>
    </row>
    <row r="20" spans="1:4" ht="15.75" customHeight="1" x14ac:dyDescent="0.15">
      <c r="A20" s="5" t="s">
        <v>19</v>
      </c>
      <c r="B20" s="6" t="str">
        <f ca="1">IFERROR(__xludf.DUMMYFUNCTION("""COMPUTED_VALUE"""),"Hypothetical Protein")</f>
        <v>Hypothetical Protein</v>
      </c>
      <c r="C20" s="6" t="str">
        <f ca="1">IFERROR(__xludf.DUMMYFUNCTION("""COMPUTED_VALUE"""),"Hypothetical protien becuas emost of the hits had an unknwon function, which is what the Phages DB blast also showed")</f>
        <v>Hypothetical protien becuas emost of the hits had an unknwon function, which is what the Phages DB blast also showed</v>
      </c>
      <c r="D20" s="6"/>
    </row>
    <row r="21" spans="1:4" x14ac:dyDescent="0.2">
      <c r="A21" s="7"/>
      <c r="B21" s="8"/>
      <c r="C21" s="8"/>
      <c r="D21" s="8"/>
    </row>
    <row r="22" spans="1:4" ht="15.75" customHeight="1" x14ac:dyDescent="0.15">
      <c r="A22" s="9" t="s">
        <v>20</v>
      </c>
      <c r="B22" s="8" t="str">
        <f ca="1">IFERROR(__xludf.DUMMYFUNCTION("""COMPUTED_VALUE"""),"I couldn't pick a higher probability protein on HHpred because they were all through a database called SCOPe that was really confusing to use. so the probability of this chosen gene is really low")</f>
        <v>I couldn't pick a higher probability protein on HHpred because they were all through a database called SCOPe that was really confusing to use. so the probability of this chosen gene is really low</v>
      </c>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IFERROR(__xludf.DUMMYFUNCTION("IMPORTRANGE(""https://docs.google.com/spreadsheets/d/1lnhM27PotbG3sLgv1l-Z-v-YjCyKJ0DlymQrusc2STA"", ""S64!B1:B22"")"),"Layla Baldwin")</f>
        <v>Layla Baldwin</v>
      </c>
      <c r="C1" s="11" t="str">
        <f ca="1">IFERROR(__xludf.DUMMYFUNCTION("IMPORTRANGE(""https://docs.google.com/spreadsheets/d/1mDoveT5ogJcal0bN308rf9jioMYsAcKe21Otdt4nuTk"", ""S64!B1:B22"")"),"Put Your Name Here")</f>
        <v>Put Your Name Here</v>
      </c>
      <c r="D1" s="2" t="s">
        <v>0</v>
      </c>
    </row>
    <row r="2" spans="1:4" ht="15.75" customHeight="1" x14ac:dyDescent="0.15">
      <c r="A2" s="3" t="s">
        <v>1</v>
      </c>
      <c r="B2" s="4" t="str">
        <f ca="1">IFERROR(__xludf.DUMMYFUNCTION("""COMPUTED_VALUE"""),"39526 - 398282 Forward")</f>
        <v>39526 - 398282 Forward</v>
      </c>
      <c r="C2" s="4" t="str">
        <f ca="1">IFERROR(__xludf.DUMMYFUNCTION("""COMPUTED_VALUE"""),"39526 to 39828 FOW")</f>
        <v>39526 to 39828 FOW</v>
      </c>
      <c r="D2" s="4"/>
    </row>
    <row r="3" spans="1:4" ht="15.75" customHeight="1" x14ac:dyDescent="0.15">
      <c r="A3" s="5" t="s">
        <v>2</v>
      </c>
      <c r="B3" s="6" t="str">
        <f ca="1">IFERROR(__xludf.DUMMYFUNCTION("""COMPUTED_VALUE"""),"64 in Pham and PDB, 62 in DNAM")</f>
        <v>64 in Pham and PDB, 62 in DNAM</v>
      </c>
      <c r="C3" s="6" t="str">
        <f ca="1">IFERROR(__xludf.DUMMYFUNCTION("""COMPUTED_VALUE"""),"64 Phamerator 
62 DNA Master")</f>
        <v>64 Phamerator 
62 DNA Master</v>
      </c>
      <c r="D3" s="6"/>
    </row>
    <row r="4" spans="1:4" ht="15.75" customHeight="1" x14ac:dyDescent="0.15">
      <c r="A4" s="5" t="s">
        <v>3</v>
      </c>
      <c r="B4" s="6" t="str">
        <f ca="1">IFERROR(__xludf.DUMMYFUNCTION("""COMPUTED_VALUE"""),"225978 4/18/25")</f>
        <v>225978 4/18/25</v>
      </c>
      <c r="C4" s="6" t="str">
        <f ca="1">IFERROR(__xludf.DUMMYFUNCTION("""COMPUTED_VALUE"""),"227352 4/16/25")</f>
        <v>227352 4/16/25</v>
      </c>
      <c r="D4" s="6"/>
    </row>
    <row r="5" spans="1:4" ht="15.75" customHeight="1" x14ac:dyDescent="0.15">
      <c r="A5" s="5" t="s">
        <v>4</v>
      </c>
      <c r="B5" s="6" t="str">
        <f ca="1">IFERROR(__xludf.DUMMYFUNCTION("""COMPUTED_VALUE"""),"AbbyDaisy_40, Aikyam_57")</f>
        <v>AbbyDaisy_40, Aikyam_57</v>
      </c>
      <c r="C5" s="6" t="str">
        <f ca="1">IFERROR(__xludf.DUMMYFUNCTION("""COMPUTED_VALUE"""),"GoodLuckBabe_63")</f>
        <v>GoodLuckBabe_63</v>
      </c>
      <c r="D5" s="6"/>
    </row>
    <row r="6" spans="1:4" ht="15.75" customHeight="1" x14ac:dyDescent="0.15">
      <c r="A6" s="5" t="s">
        <v>5</v>
      </c>
      <c r="B6" s="6" t="str">
        <f ca="1">IFERROR(__xludf.DUMMYFUNCTION("""COMPUTED_VALUE"""),"Both support")</f>
        <v>Both support</v>
      </c>
      <c r="C6" s="6" t="str">
        <f ca="1">IFERROR(__xludf.DUMMYFUNCTION("""COMPUTED_VALUE"""),"Both call @ bp 39526")</f>
        <v>Both call @ bp 39526</v>
      </c>
      <c r="D6" s="6"/>
    </row>
    <row r="7" spans="1:4" ht="15.75" customHeight="1" x14ac:dyDescent="0.15">
      <c r="A7" s="5" t="s">
        <v>6</v>
      </c>
      <c r="B7" s="6" t="str">
        <f ca="1">IFERROR(__xludf.DUMMYFUNCTION("""COMPUTED_VALUE"""),"Poor coding potential for the first half of the gene, okay in the last half. Moving start to 5th start would, help but would leave a big gap. ")</f>
        <v xml:space="preserve">Poor coding potential for the first half of the gene, okay in the last half. Moving start to 5th start would, help but would leave a big gap. </v>
      </c>
      <c r="C7" s="6" t="str">
        <f ca="1">IFERROR(__xludf.DUMMYFUNCTION("""COMPUTED_VALUE"""),"there is not good coding potential ")</f>
        <v xml:space="preserve">there is not good coding potential </v>
      </c>
      <c r="D7" s="6"/>
    </row>
    <row r="8" spans="1:4" ht="15.75" customHeight="1" x14ac:dyDescent="0.15">
      <c r="A8" s="5" t="s">
        <v>7</v>
      </c>
      <c r="B8" s="6" t="str">
        <f ca="1">IFERROR(__xludf.DUMMYFUNCTION("""COMPUTED_VALUE"""),"No, two previous starts")</f>
        <v>No, two previous starts</v>
      </c>
      <c r="C8" s="6" t="str">
        <f ca="1">IFERROR(__xludf.DUMMYFUNCTION("""COMPUTED_VALUE"""),"no")</f>
        <v>no</v>
      </c>
      <c r="D8" s="6"/>
    </row>
    <row r="9" spans="1:4" ht="15.75" customHeight="1" x14ac:dyDescent="0.15">
      <c r="A9" s="5" t="s">
        <v>8</v>
      </c>
      <c r="B9" s="6" t="str">
        <f ca="1">IFERROR(__xludf.DUMMYFUNCTION("""COMPUTED_VALUE"""),"1 bp overlap")</f>
        <v>1 bp overlap</v>
      </c>
      <c r="C9" s="6" t="str">
        <f ca="1">IFERROR(__xludf.DUMMYFUNCTION("""COMPUTED_VALUE"""),"1 nt overlap ")</f>
        <v xml:space="preserve">1 nt overlap </v>
      </c>
      <c r="D9" s="6"/>
    </row>
    <row r="10" spans="1:4" ht="15.75" customHeight="1" x14ac:dyDescent="0.15">
      <c r="A10" s="5" t="s">
        <v>9</v>
      </c>
      <c r="B10" s="6" t="str">
        <f ca="1">IFERROR(__xludf.DUMMYFUNCTION("""COMPUTED_VALUE"""),"Chosen start Z = 2.607, final = -3.469. The chosen start has the 3rd-best Z scores and final scores. Next start (Start 4 @ 39668) has pretty good scores; the best final at -3.306 and the 2nd best Z score at 2.617. Moving to next start also would help with"&amp;" the fact that the chosen start is missing coding potential.")</f>
        <v>Chosen start Z = 2.607, final = -3.469. The chosen start has the 3rd-best Z scores and final scores. Next start (Start 4 @ 39668) has pretty good scores; the best final at -3.306 and the 2nd best Z score at 2.617. Moving to next start also would help with the fact that the chosen start is missing coding potential.</v>
      </c>
      <c r="C10" s="6" t="str">
        <f ca="1">IFERROR(__xludf.DUMMYFUNCTION("""COMPUTED_VALUE"""),"current start has a good z score (2.591)
best z score is @ nt 9367 (2.713)")</f>
        <v>current start has a good z score (2.591)
best z score is @ nt 9367 (2.713)</v>
      </c>
      <c r="D10" s="6"/>
    </row>
    <row r="11" spans="1:4" ht="15.75" customHeight="1" x14ac:dyDescent="0.15">
      <c r="A11" s="5" t="s">
        <v>10</v>
      </c>
      <c r="B11" s="6" t="str">
        <f ca="1">IFERROR(__xludf.DUMMYFUNCTION("""COMPUTED_VALUE"""),"DUF 4326 domain containg protein Rhodococcus sp. 2TV, percent identity = 75%, e = 2e-43, q2:s4")</f>
        <v>DUF 4326 domain containg protein Rhodococcus sp. 2TV, percent identity = 75%, e = 2e-43, q2:s4</v>
      </c>
      <c r="C11" s="6" t="str">
        <f ca="1">IFERROR(__xludf.DUMMYFUNCTION("""COMPUTED_VALUE"""),"DUF4326 domain-containing protein [Rhodococcus sp. T2V]
69.697% identity
2.05778e-43")</f>
        <v>DUF4326 domain-containing protein [Rhodococcus sp. T2V]
69.697% identity
2.05778e-43</v>
      </c>
      <c r="D11" s="6"/>
    </row>
    <row r="12" spans="1:4" ht="15.75" customHeight="1" x14ac:dyDescent="0.15">
      <c r="A12" s="5" t="s">
        <v>11</v>
      </c>
      <c r="B12" s="6" t="str">
        <f ca="1">IFERROR(__xludf.DUMMYFUNCTION("""COMPUTED_VALUE"""),"Found in 75.2% and called 79.3%. Start 4 is found in 86.2 but called in about 10%")</f>
        <v>Found in 75.2% and called 79.3%. Start 4 is found in 86.2 but called in about 10%</v>
      </c>
      <c r="C12" s="6" t="str">
        <f ca="1">IFERROR(__xludf.DUMMYFUNCTION("""COMPUTED_VALUE"""),"no, most called start shared with schism_64; 55 out of 88 times")</f>
        <v>no, most called start shared with schism_64; 55 out of 88 times</v>
      </c>
      <c r="D12" s="6"/>
    </row>
    <row r="13" spans="1:4" ht="15.75" customHeight="1" x14ac:dyDescent="0.15">
      <c r="A13" s="5" t="s">
        <v>12</v>
      </c>
      <c r="B13" s="6" t="str">
        <f ca="1">IFERROR(__xludf.DUMMYFUNCTION("""COMPUTED_VALUE"""),"Even though Start misses out on coding potential, it has okay scores, and starterator supports the current start. Moving up to the next start is not supported by Starterator. Start not changed.")</f>
        <v>Even though Start misses out on coding potential, it has okay scores, and starterator supports the current start. Moving up to the next start is not supported by Starterator. Start not changed.</v>
      </c>
      <c r="C13" s="6" t="str">
        <f ca="1">IFERROR(__xludf.DUMMYFUNCTION("""COMPUTED_VALUE"""),"no, although genemark shows little coding potential, the whole gene has little coding potential. There is no large overlap or gap, the start is most oftenly called. ")</f>
        <v xml:space="preserve">no, although genemark shows little coding potential, the whole gene has little coding potential. There is no large overlap or gap, the start is most oftenly called. </v>
      </c>
      <c r="D13" s="6"/>
    </row>
    <row r="14" spans="1:4" ht="15.75" customHeight="1" x14ac:dyDescent="0.15">
      <c r="A14" s="5" t="s">
        <v>13</v>
      </c>
      <c r="B14" s="6" t="str">
        <f ca="1">IFERROR(__xludf.DUMMYFUNCTION("""COMPUTED_VALUE"""),"Persistence_39, function unknown, e = 1e-25. AbbyDaisy_40, function unknown, e = 1e-25")</f>
        <v>Persistence_39, function unknown, e = 1e-25. AbbyDaisy_40, function unknown, e = 1e-25</v>
      </c>
      <c r="C14" s="6" t="str">
        <f ca="1">IFERROR(__xludf.DUMMYFUNCTION("""COMPUTED_VALUE"""),"Persistence_39 1e-25 ")</f>
        <v xml:space="preserve">Persistence_39 1e-25 </v>
      </c>
      <c r="D14" s="6"/>
    </row>
    <row r="15" spans="1:4" ht="15.75" customHeight="1" x14ac:dyDescent="0.15">
      <c r="A15" s="5" t="s">
        <v>14</v>
      </c>
      <c r="B15" s="6" t="str">
        <f ca="1">IFERROR(__xludf.DUMMYFUNCTION("""COMPUTED_VALUE"""),"Unknow function")</f>
        <v>Unknow function</v>
      </c>
      <c r="C15" s="6" t="str">
        <f ca="1">IFERROR(__xludf.DUMMYFUNCTION("""COMPUTED_VALUE"""),"function unknown ")</f>
        <v xml:space="preserve">function unknown </v>
      </c>
      <c r="D15" s="6"/>
    </row>
    <row r="16" spans="1:4" ht="15.75" customHeight="1" x14ac:dyDescent="0.15">
      <c r="A16" s="5" t="s">
        <v>15</v>
      </c>
      <c r="B16" s="6" t="str">
        <f ca="1">IFERROR(__xludf.DUMMYFUNCTION("""COMPUTED_VALUE"""),"No, these genes are further up in the genome")</f>
        <v>No, these genes are further up in the genome</v>
      </c>
      <c r="C16" s="6" t="str">
        <f ca="1">IFERROR(__xludf.DUMMYFUNCTION("""COMPUTED_VALUE"""),"no")</f>
        <v>no</v>
      </c>
      <c r="D16" s="6"/>
    </row>
    <row r="17" spans="1:4" ht="15.75" customHeight="1" x14ac:dyDescent="0.15">
      <c r="A17" s="5" t="s">
        <v>16</v>
      </c>
      <c r="B17" s="6" t="str">
        <f ca="1">IFERROR(__xludf.DUMMYFUNCTION("""COMPUTED_VALUE"""),"PF14216.11 ; DUF4326 ; Domain of unknown function (DUF4326), probability = 99.95%, aoq = 76, aot = 80.85")</f>
        <v>PF14216.11 ; DUF4326 ; Domain of unknown function (DUF4326), probability = 99.95%, aoq = 76, aot = 80.85</v>
      </c>
      <c r="C17" s="6" t="str">
        <f ca="1">IFERROR(__xludf.DUMMYFUNCTION("""COMPUTED_VALUE"""),"YR718_MIMIV Uncharacterized protein R718 OS=Acanthamoeba polyphaga mimivirus OX=212035 GN=MIMI_R718 PE=4 SV=1
% probability:99.95% 
% alignment Q: 86%
% alignment T: 66.2%")</f>
        <v>YR718_MIMIV Uncharacterized protein R718 OS=Acanthamoeba polyphaga mimivirus OX=212035 GN=MIMI_R718 PE=4 SV=1
% probability:99.95% 
% alignment Q: 86%
% alignment T: 66.2%</v>
      </c>
      <c r="D17" s="6"/>
    </row>
    <row r="18" spans="1:4" ht="15.75" customHeight="1" x14ac:dyDescent="0.15">
      <c r="A18" s="5" t="s">
        <v>17</v>
      </c>
      <c r="B18" s="6" t="str">
        <f ca="1">IFERROR(__xludf.DUMMYFUNCTION("""COMPUTED_VALUE"""),"DUF4326, e = 7.6e-25")</f>
        <v>DUF4326, e = 7.6e-25</v>
      </c>
      <c r="C18" s="6" t="str">
        <f ca="1">IFERROR(__xludf.DUMMYFUNCTION("""COMPUTED_VALUE"""),"Domain of unknown function (DUF4326)")</f>
        <v>Domain of unknown function (DUF4326)</v>
      </c>
      <c r="D18" s="6"/>
    </row>
    <row r="19" spans="1:4" ht="15.75" customHeight="1" x14ac:dyDescent="0.15">
      <c r="A19" s="5" t="s">
        <v>18</v>
      </c>
      <c r="B19" s="6" t="str">
        <f ca="1">IFERROR(__xludf.DUMMYFUNCTION("""COMPUTED_VALUE"""),"No")</f>
        <v>No</v>
      </c>
      <c r="C19" s="6" t="str">
        <f ca="1">IFERROR(__xludf.DUMMYFUNCTION("""COMPUTED_VALUE"""),"no")</f>
        <v>no</v>
      </c>
      <c r="D19" s="6"/>
    </row>
    <row r="20" spans="1:4" ht="15.75" customHeight="1" x14ac:dyDescent="0.15">
      <c r="A20" s="5" t="s">
        <v>19</v>
      </c>
      <c r="B20" s="6" t="str">
        <f ca="1">IFERROR(__xludf.DUMMYFUNCTION("""COMPUTED_VALUE"""),"Domain of an unknown function, no evidence to support anything else")</f>
        <v>Domain of an unknown function, no evidence to support anything else</v>
      </c>
      <c r="C20" s="6" t="str">
        <f ca="1">IFERROR(__xludf.DUMMYFUNCTION("""COMPUTED_VALUE"""),"hypothetical protein, Concerved domain of unknown function. Most Phages DB results show unknown function, HHpred supports. ")</f>
        <v xml:space="preserve">hypothetical protein, Concerved domain of unknown function. Most Phages DB results show unknown function, HHpred supports. </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outlinePr summaryBelow="0" summaryRight="0"/>
  </sheetPr>
  <dimension ref="A1:D997"/>
  <sheetViews>
    <sheetView workbookViewId="0">
      <selection activeCell="B1" sqref="B1"/>
    </sheetView>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2" t="str">
        <f ca="1">IFERROR(__xludf.DUMMYFUNCTION("IMPORTRANGE(""https://docs.google.com/spreadsheets/d/1lnhM27PotbG3sLgv1l-Z-v-YjCyKJ0DlymQrusc2STA"", ""S65!B1:B22"")"),"Layla Baldwin")</f>
        <v>Layla Baldwin</v>
      </c>
      <c r="C1" s="11" t="str">
        <f ca="1">IFERROR(__xludf.DUMMYFUNCTION("IMPORTRANGE(""https://docs.google.com/spreadsheets/d/1xJbcWhjJwppoDUCHCotLHO1vyy_ugWR-w2T_Z5J7WD4"", ""S65!B1:B22"")"),"Rin Godfrey")</f>
        <v>Rin Godfrey</v>
      </c>
      <c r="D1" s="2" t="s">
        <v>0</v>
      </c>
    </row>
    <row r="2" spans="1:4" ht="15.75" customHeight="1" x14ac:dyDescent="0.15">
      <c r="A2" s="3" t="s">
        <v>1</v>
      </c>
      <c r="B2" s="4" t="str">
        <f ca="1">IFERROR(__xludf.DUMMYFUNCTION("""COMPUTED_VALUE"""),"39832 - 40998 Forward")</f>
        <v>39832 - 40998 Forward</v>
      </c>
      <c r="C2" s="4" t="str">
        <f ca="1">IFERROR(__xludf.DUMMYFUNCTION("""COMPUTED_VALUE"""),"39832 - 40998 FOR")</f>
        <v>39832 - 40998 FOR</v>
      </c>
      <c r="D2" s="4"/>
    </row>
    <row r="3" spans="1:4" ht="15.75" customHeight="1" x14ac:dyDescent="0.15">
      <c r="A3" s="5" t="s">
        <v>2</v>
      </c>
      <c r="B3" s="6" t="str">
        <f ca="1">IFERROR(__xludf.DUMMYFUNCTION("""COMPUTED_VALUE"""),"65 in Pham and PDB, ")</f>
        <v xml:space="preserve">65 in Pham and PDB, </v>
      </c>
      <c r="C3" s="6" t="str">
        <f ca="1">IFERROR(__xludf.DUMMYFUNCTION("""COMPUTED_VALUE"""),"DNA MAster: 63
Phameater: 65")</f>
        <v>DNA MAster: 63
Phameater: 65</v>
      </c>
      <c r="D3" s="6"/>
    </row>
    <row r="4" spans="1:4" ht="15.75" customHeight="1" x14ac:dyDescent="0.15">
      <c r="A4" s="5" t="s">
        <v>3</v>
      </c>
      <c r="B4" s="6" t="str">
        <f ca="1">IFERROR(__xludf.DUMMYFUNCTION("""COMPUTED_VALUE"""),"3586 4/18/25")</f>
        <v>3586 4/18/25</v>
      </c>
      <c r="C4" s="6" t="str">
        <f ca="1">IFERROR(__xludf.DUMMYFUNCTION("""COMPUTED_VALUE"""),"3586 4/18/25")</f>
        <v>3586 4/18/25</v>
      </c>
      <c r="D4" s="6"/>
    </row>
    <row r="5" spans="1:4" ht="15.75" customHeight="1" x14ac:dyDescent="0.15">
      <c r="A5" s="5" t="s">
        <v>4</v>
      </c>
      <c r="B5" s="6"/>
      <c r="C5" s="6" t="str">
        <f ca="1">IFERROR(__xludf.DUMMYFUNCTION("""COMPUTED_VALUE"""),"Popper_64 (HNH endonuclease)
QuinnAvery_65 (HNH endonuclease domain)")</f>
        <v>Popper_64 (HNH endonuclease)
QuinnAvery_65 (HNH endonuclease domain)</v>
      </c>
      <c r="D5" s="6"/>
    </row>
    <row r="6" spans="1:4" ht="15.75" customHeight="1" x14ac:dyDescent="0.15">
      <c r="A6" s="5" t="s">
        <v>5</v>
      </c>
      <c r="B6" s="6" t="str">
        <f ca="1">IFERROR(__xludf.DUMMYFUNCTION("""COMPUTED_VALUE"""),"Both call")</f>
        <v>Both call</v>
      </c>
      <c r="C6" s="6" t="str">
        <f ca="1">IFERROR(__xludf.DUMMYFUNCTION("""COMPUTED_VALUE"""),"both at 39832")</f>
        <v>both at 39832</v>
      </c>
      <c r="D6" s="6"/>
    </row>
    <row r="7" spans="1:4" ht="15.75" customHeight="1" x14ac:dyDescent="0.15">
      <c r="A7" s="5" t="s">
        <v>6</v>
      </c>
      <c r="B7" s="6" t="str">
        <f ca="1">IFERROR(__xludf.DUMMYFUNCTION("""COMPUTED_VALUE"""),"Bad coding potential for the last 1/3 of the gene, decent in the beginning with a dip in the beginning 1/4, then a spike for a little bit, then it dips again for a good bit of the gene with tiny spikes of potential. Called start captures potential.")</f>
        <v>Bad coding potential for the last 1/3 of the gene, decent in the beginning with a dip in the beginning 1/4, then a spike for a little bit, then it dips again for a good bit of the gene with tiny spikes of potential. Called start captures potential.</v>
      </c>
      <c r="C7" s="6" t="str">
        <f ca="1">IFERROR(__xludf.DUMMYFUNCTION("""COMPUTED_VALUE"""),"It is good in the begin but loses potental as it gose farther along")</f>
        <v>It is good in the begin but loses potental as it gose farther along</v>
      </c>
      <c r="D7" s="6"/>
    </row>
    <row r="8" spans="1:4" ht="15.75" customHeight="1" x14ac:dyDescent="0.15">
      <c r="A8" s="5" t="s">
        <v>7</v>
      </c>
      <c r="B8" s="6" t="str">
        <f ca="1">IFERROR(__xludf.DUMMYFUNCTION("""COMPUTED_VALUE"""),"Yes, no previous starts")</f>
        <v>Yes, no previous starts</v>
      </c>
      <c r="C8" s="6" t="str">
        <f ca="1">IFERROR(__xludf.DUMMYFUNCTION("""COMPUTED_VALUE"""),"this is the longest possible ORF")</f>
        <v>this is the longest possible ORF</v>
      </c>
      <c r="D8" s="6"/>
    </row>
    <row r="9" spans="1:4" ht="15.75" customHeight="1" x14ac:dyDescent="0.15">
      <c r="A9" s="5" t="s">
        <v>8</v>
      </c>
      <c r="B9" s="6" t="str">
        <f ca="1">IFERROR(__xludf.DUMMYFUNCTION("""COMPUTED_VALUE"""),"4 bp gap")</f>
        <v>4 bp gap</v>
      </c>
      <c r="C9" s="6" t="str">
        <f ca="1">IFERROR(__xludf.DUMMYFUNCTION("""COMPUTED_VALUE"""),"Overlap of 4 nueltide")</f>
        <v>Overlap of 4 nueltide</v>
      </c>
      <c r="D9" s="6"/>
    </row>
    <row r="10" spans="1:4" ht="15.75" customHeight="1" x14ac:dyDescent="0.15">
      <c r="A10" s="5" t="s">
        <v>9</v>
      </c>
      <c r="B10" s="6" t="str">
        <f ca="1">IFERROR(__xludf.DUMMYFUNCTION("""COMPUTED_VALUE"""),"Z = 1.300, final = -6.218. Second start (39901) Z = 2.168 and final = -5.08, Second start has best scores. Though, moving to second start would miss out on coding potential")</f>
        <v>Z = 1.300, final = -6.218. Second start (39901) Z = 2.168 and final = -5.08, Second start has best scores. Though, moving to second start would miss out on coding potential</v>
      </c>
      <c r="C10" s="6" t="str">
        <f ca="1">IFERROR(__xludf.DUMMYFUNCTION("""COMPUTED_VALUE"""),"Z-score: 1.300, F-score: -6.218")</f>
        <v>Z-score: 1.300, F-score: -6.218</v>
      </c>
      <c r="D10" s="6"/>
    </row>
    <row r="11" spans="1:4" ht="15.75" customHeight="1" x14ac:dyDescent="0.15">
      <c r="A11" s="5" t="s">
        <v>10</v>
      </c>
      <c r="B11" s="6" t="str">
        <f ca="1">IFERROR(__xludf.DUMMYFUNCTION("""COMPUTED_VALUE"""),"Gusanita, identity = 96.91, e = 0, QuinnAvery, identity = 97.16, e = 0, q1:s1 for both")</f>
        <v>Gusanita, identity = 96.91, e = 0, QuinnAvery, identity = 97.16, e = 0, q1:s1 for both</v>
      </c>
      <c r="C11" s="6" t="str">
        <f ca="1">IFERROR(__xludf.DUMMYFUNCTION("""COMPUTED_VALUE"""),"QuinnAvery_65, 97% identy, 0.0e
q: 1-388 ,t: 1-384  ")</f>
        <v xml:space="preserve">QuinnAvery_65, 97% identy, 0.0e
q: 1-388 ,t: 1-384  </v>
      </c>
      <c r="D11" s="6"/>
    </row>
    <row r="12" spans="1:4" ht="15.75" customHeight="1" x14ac:dyDescent="0.15">
      <c r="A12" s="5" t="s">
        <v>11</v>
      </c>
      <c r="B12" s="6"/>
      <c r="C12" s="6" t="str">
        <f ca="1">IFERROR(__xludf.DUMMYFUNCTION("""COMPUTED_VALUE"""),"Found in 13 of 30 ( 43.3% ) of genes in pham
Called 100.0% of time when present
")</f>
        <v xml:space="preserve">Found in 13 of 30 ( 43.3% ) of genes in pham
Called 100.0% of time when present
</v>
      </c>
      <c r="D12" s="6"/>
    </row>
    <row r="13" spans="1:4" ht="15.75" customHeight="1" x14ac:dyDescent="0.15">
      <c r="A13" s="5" t="s">
        <v>12</v>
      </c>
      <c r="B13" s="6" t="str">
        <f ca="1">IFERROR(__xludf.DUMMYFUNCTION("""COMPUTED_VALUE"""),"For now, without starterator and PDB, the start is not changed. Even though the current start has not great starts, moving the start up would miss out on coding potential.")</f>
        <v>For now, without starterator and PDB, the start is not changed. Even though the current start has not great starts, moving the start up would miss out on coding potential.</v>
      </c>
      <c r="C13" s="6" t="str">
        <f ca="1">IFERROR(__xludf.DUMMYFUNCTION("""COMPUTED_VALUE"""),"No ther is no reason")</f>
        <v>No ther is no reason</v>
      </c>
      <c r="D13" s="6"/>
    </row>
    <row r="14" spans="1:4" ht="15.75" customHeight="1" x14ac:dyDescent="0.15">
      <c r="A14" s="5" t="s">
        <v>13</v>
      </c>
      <c r="B14" s="6"/>
      <c r="C14" s="6" t="str">
        <f ca="1">IFERROR(__xludf.DUMMYFUNCTION("""COMPUTED_VALUE"""),"Gusanita_63,0.0   
QuinnAvery_65, HNH endonuclease domain,0.0   ")</f>
        <v xml:space="preserve">Gusanita_63,0.0   
QuinnAvery_65, HNH endonuclease domain,0.0   </v>
      </c>
      <c r="D14" s="6"/>
    </row>
    <row r="15" spans="1:4" ht="15.75" customHeight="1" x14ac:dyDescent="0.15">
      <c r="A15" s="5" t="s">
        <v>14</v>
      </c>
      <c r="B15" s="6"/>
      <c r="C15" s="6" t="str">
        <f ca="1">IFERROR(__xludf.DUMMYFUNCTION("""COMPUTED_VALUE"""),"Gusanita_63, HNH endonuclease
QuinnAvery_65, HNH endonuclease domain")</f>
        <v>Gusanita_63, HNH endonuclease
QuinnAvery_65, HNH endonuclease domain</v>
      </c>
      <c r="D15" s="6"/>
    </row>
    <row r="16" spans="1:4" ht="15.75" customHeight="1" x14ac:dyDescent="0.15">
      <c r="A16" s="5" t="s">
        <v>15</v>
      </c>
      <c r="B16" s="6"/>
      <c r="C16" s="6" t="str">
        <f ca="1">IFERROR(__xludf.DUMMYFUNCTION("""COMPUTED_VALUE"""),"It does not match very well with Nandita")</f>
        <v>It does not match very well with Nandita</v>
      </c>
      <c r="D16" s="6"/>
    </row>
    <row r="17" spans="1:4" ht="15.75" customHeight="1" x14ac:dyDescent="0.15">
      <c r="A17" s="5" t="s">
        <v>16</v>
      </c>
      <c r="B17" s="6" t="str">
        <f ca="1">IFERROR(__xludf.DUMMYFUNCTION("""COMPUTED_VALUE"""),"7ENH_A CRISPR-associated endonuclease Cas9; Inhibitor, Complex, VIRAL PROTEIN; HET: NI; 2.097A {Staphylococcus aureus}, probability = 98.33, aoq = 18, aot = 43, functional domain is in target part of alignment (HNH endonuclease)")</f>
        <v>7ENH_A CRISPR-associated endonuclease Cas9; Inhibitor, Complex, VIRAL PROTEIN; HET: NI; 2.097A {Staphylococcus aureus}, probability = 98.33, aoq = 18, aot = 43, functional domain is in target part of alignment (HNH endonuclease)</v>
      </c>
      <c r="C17" s="6" t="str">
        <f ca="1">IFERROR(__xludf.DUMMYFUNCTION("""COMPUTED_VALUE"""),"7ENH_A CRISPR-associated endonuclease Cas9; Inhibitor, Complex, VIRAL PROTEIN; HET: NI; 2.097A {Staphylococcus aureus}
Probability: 98.33%,
Query: 18%
Target: 43%
The fuctional domain is not a part of the target alinment")</f>
        <v>7ENH_A CRISPR-associated endonuclease Cas9; Inhibitor, Complex, VIRAL PROTEIN; HET: NI; 2.097A {Staphylococcus aureus}
Probability: 98.33%,
Query: 18%
Target: 43%
The fuctional domain is not a part of the target alinment</v>
      </c>
      <c r="D17" s="6"/>
    </row>
    <row r="18" spans="1:4" ht="15.75" customHeight="1" x14ac:dyDescent="0.15">
      <c r="A18" s="5" t="s">
        <v>17</v>
      </c>
      <c r="B18" s="6" t="str">
        <f ca="1">IFERROR(__xludf.DUMMYFUNCTION("""COMPUTED_VALUE"""),"HNH endonuclease. His-Asn-His (HNH) proteins are a very common family of small nucleic acid-binding proteins that are generally associated with endonuclease activity. e = 23-4. DNA polymerase III subunit gamma/tau. e = 9.7e-6.")</f>
        <v>HNH endonuclease. His-Asn-His (HNH) proteins are a very common family of small nucleic acid-binding proteins that are generally associated with endonuclease activity. e = 23-4. DNA polymerase III subunit gamma/tau. e = 9.7e-6.</v>
      </c>
      <c r="C18" s="6" t="str">
        <f ca="1">IFERROR(__xludf.DUMMYFUNCTION("""COMPUTED_VALUE"""),"PHA03247
large tegument protein UL36; Provisional.
Protein Alignment:
Query Start: 199
Query End: 380
E-Value: 0.000120125
HNH
HNH endonuclease. His-Asn-His (HNH) proteins are a very common family of small nucleic acid-binding proteins that are generally "&amp;"associated with endonuclease activity.
Protein Alignment:
Query Start: 150
Query End: 198
E-Value: 0.000223207")</f>
        <v>PHA03247
large tegument protein UL36; Provisional.
Protein Alignment:
Query Start: 199
Query End: 380
E-Value: 0.000120125
HNH
HNH endonuclease. His-Asn-His (HNH) proteins are a very common family of small nucleic acid-binding proteins that are generally associated with endonuclease activity.
Protein Alignment:
Query Start: 150
Query End: 198
E-Value: 0.000223207</v>
      </c>
      <c r="D18" s="6"/>
    </row>
    <row r="19" spans="1:4" ht="15.75" customHeight="1" x14ac:dyDescent="0.15">
      <c r="A19" s="5" t="s">
        <v>18</v>
      </c>
      <c r="B19" s="6" t="str">
        <f ca="1">IFERROR(__xludf.DUMMYFUNCTION("""COMPUTED_VALUE"""),"No")</f>
        <v>No</v>
      </c>
      <c r="C19" s="6" t="str">
        <f ca="1">IFERROR(__xludf.DUMMYFUNCTION("""COMPUTED_VALUE"""),"None")</f>
        <v>None</v>
      </c>
      <c r="D19" s="6"/>
    </row>
    <row r="20" spans="1:4" ht="15.75" customHeight="1" x14ac:dyDescent="0.15">
      <c r="A20" s="5" t="s">
        <v>19</v>
      </c>
      <c r="B20" s="6" t="str">
        <f ca="1">IFERROR(__xludf.DUMMYFUNCTION("""COMPUTED_VALUE"""),"HNH endonuclease domain, excellent HHPred and blast match. All evidence supports")</f>
        <v>HNH endonuclease domain, excellent HHPred and blast match. All evidence supports</v>
      </c>
      <c r="C20" s="6" t="str">
        <f ca="1">IFERROR(__xludf.DUMMYFUNCTION("""COMPUTED_VALUE"""),"HNH endonuclease
This the called fuction it match orther gene and work well with HHpred.")</f>
        <v>HNH endonuclease
This the called fuction it match orther gene and work well with HHpred.</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IFERROR(__xludf.DUMMYFUNCTION("IMPORTRANGE(""https://docs.google.com/spreadsheets/d/118rN356SVQ9wRlO8Wn-8gpg7SdHsE4vm-XldkW2-iEo"", ""S66!B1:B22"")"),"McKinzie Novak")</f>
        <v>McKinzie Novak</v>
      </c>
      <c r="C1" s="11" t="str">
        <f ca="1">IFERROR(__xludf.DUMMYFUNCTION("IMPORTRANGE(""https://docs.google.com/spreadsheets/d/1WNEoccD374LriG_Vfas93mZuqp-YxPt_JlqNi2GnBVU"", ""S66!B1:B22"")"),"Tyler Thibodeaux ")</f>
        <v xml:space="preserve">Tyler Thibodeaux </v>
      </c>
      <c r="D1" s="2" t="s">
        <v>0</v>
      </c>
    </row>
    <row r="2" spans="1:4" ht="15.75" customHeight="1" x14ac:dyDescent="0.15">
      <c r="A2" s="3" t="s">
        <v>1</v>
      </c>
      <c r="B2" s="4" t="str">
        <f ca="1">IFERROR(__xludf.DUMMYFUNCTION("""COMPUTED_VALUE"""),"START: 40995
STOP: 41321
FORWARD")</f>
        <v>START: 40995
STOP: 41321
FORWARD</v>
      </c>
      <c r="C2" s="4" t="str">
        <f ca="1">IFERROR(__xludf.DUMMYFUNCTION("""COMPUTED_VALUE"""),"40995 to 41321 (Forward)")</f>
        <v>40995 to 41321 (Forward)</v>
      </c>
      <c r="D2" s="4"/>
    </row>
    <row r="3" spans="1:4" ht="15.75" customHeight="1" x14ac:dyDescent="0.15">
      <c r="A3" s="5" t="s">
        <v>2</v>
      </c>
      <c r="B3" s="6" t="str">
        <f ca="1">IFERROR(__xludf.DUMMYFUNCTION("""COMPUTED_VALUE"""),"DNAM: 64
PHAM: 66       PECAAN: 64
Phagesdb: 66")</f>
        <v>DNAM: 64
PHAM: 66       PECAAN: 64
Phagesdb: 66</v>
      </c>
      <c r="C3" s="6" t="str">
        <f ca="1">IFERROR(__xludf.DUMMYFUNCTION("""COMPUTED_VALUE"""),"64 in DNAm and 66 in Pham")</f>
        <v>64 in DNAm and 66 in Pham</v>
      </c>
      <c r="D3" s="6"/>
    </row>
    <row r="4" spans="1:4" ht="15.75" customHeight="1" x14ac:dyDescent="0.15">
      <c r="A4" s="5" t="s">
        <v>3</v>
      </c>
      <c r="B4" s="6" t="str">
        <f ca="1">IFERROR(__xludf.DUMMYFUNCTION("""COMPUTED_VALUE"""),"#218115   4/18/25")</f>
        <v>#218115   4/18/25</v>
      </c>
      <c r="C4" s="6" t="str">
        <f ca="1">IFERROR(__xludf.DUMMYFUNCTION("""COMPUTED_VALUE"""),"pham 218115, 4-17-25")</f>
        <v>pham 218115, 4-17-25</v>
      </c>
      <c r="D4" s="6"/>
    </row>
    <row r="5" spans="1:4" ht="15.75" customHeight="1" x14ac:dyDescent="0.15">
      <c r="A5" s="5" t="s">
        <v>4</v>
      </c>
      <c r="B5" s="6" t="str">
        <f ca="1">IFERROR(__xludf.DUMMYFUNCTION("""COMPUTED_VALUE"""),"Cole #60, Elesar #58, Nandita #64")</f>
        <v>Cole #60, Elesar #58, Nandita #64</v>
      </c>
      <c r="C5" s="6" t="str">
        <f ca="1">IFERROR(__xludf.DUMMYFUNCTION("""COMPUTED_VALUE"""),"Nandita_64")</f>
        <v>Nandita_64</v>
      </c>
      <c r="D5" s="6"/>
    </row>
    <row r="6" spans="1:4" ht="15.75" customHeight="1" x14ac:dyDescent="0.15">
      <c r="A6" s="5" t="s">
        <v>5</v>
      </c>
      <c r="B6" s="6" t="str">
        <f ca="1">IFERROR(__xludf.DUMMYFUNCTION("""COMPUTED_VALUE"""),"Yes, both glimmer and genemark call the start at 40995")</f>
        <v>Yes, both glimmer and genemark call the start at 40995</v>
      </c>
      <c r="C6" s="6" t="str">
        <f ca="1">IFERROR(__xludf.DUMMYFUNCTION("""COMPUTED_VALUE"""),"Original Glimmer call @bp 40995. Both Call for this")</f>
        <v>Original Glimmer call @bp 40995. Both Call for this</v>
      </c>
      <c r="D6" s="6"/>
    </row>
    <row r="7" spans="1:4" ht="15.75" customHeight="1" x14ac:dyDescent="0.15">
      <c r="A7" s="5" t="s">
        <v>6</v>
      </c>
      <c r="B7" s="6" t="str">
        <f ca="1">IFERROR(__xludf.DUMMYFUNCTION("""COMPUTED_VALUE"""),"Yes, the gene does have decent coding potential, but it does take a pretty big dip in the middle of the gene. All coding potential is caught with the selected start")</f>
        <v>Yes, the gene does have decent coding potential, but it does take a pretty big dip in the middle of the gene. All coding potential is caught with the selected start</v>
      </c>
      <c r="C7" s="6" t="str">
        <f ca="1">IFERROR(__xludf.DUMMYFUNCTION("""COMPUTED_VALUE"""),"It has ok coding potential")</f>
        <v>It has ok coding potential</v>
      </c>
      <c r="D7" s="6"/>
    </row>
    <row r="8" spans="1:4" ht="15.75" customHeight="1" x14ac:dyDescent="0.15">
      <c r="A8" s="5" t="s">
        <v>7</v>
      </c>
      <c r="B8" s="6" t="str">
        <f ca="1">IFERROR(__xludf.DUMMYFUNCTION("""COMPUTED_VALUE"""),"No, this is not the longest ORF, there are 2 earlier starts but they create a large overlap")</f>
        <v>No, this is not the longest ORF, there are 2 earlier starts but they create a large overlap</v>
      </c>
      <c r="C8" s="6" t="str">
        <f ca="1">IFERROR(__xludf.DUMMYFUNCTION("""COMPUTED_VALUE"""),"Not longest possible")</f>
        <v>Not longest possible</v>
      </c>
      <c r="D8" s="6"/>
    </row>
    <row r="9" spans="1:4" ht="15.75" customHeight="1" x14ac:dyDescent="0.15">
      <c r="A9" s="5" t="s">
        <v>8</v>
      </c>
      <c r="B9" s="6" t="str">
        <f ca="1">IFERROR(__xludf.DUMMYFUNCTION("""COMPUTED_VALUE"""),"This start creates a 4 basepair overlap with the previous gene")</f>
        <v>This start creates a 4 basepair overlap with the previous gene</v>
      </c>
      <c r="C9" s="6" t="str">
        <f ca="1">IFERROR(__xludf.DUMMYFUNCTION("""COMPUTED_VALUE"""),"3 Overlap")</f>
        <v>3 Overlap</v>
      </c>
      <c r="D9" s="6"/>
    </row>
    <row r="10" spans="1:4" ht="15.75" customHeight="1" x14ac:dyDescent="0.15">
      <c r="A10" s="5" t="s">
        <v>9</v>
      </c>
      <c r="B10" s="6" t="str">
        <f ca="1">IFERROR(__xludf.DUMMYFUNCTION("""COMPUTED_VALUE"""),"Start: 40995
z-score: 2.935 rbs: -3.509")</f>
        <v>Start: 40995
z-score: 2.935 rbs: -3.509</v>
      </c>
      <c r="C10" s="6" t="str">
        <f ca="1">IFERROR(__xludf.DUMMYFUNCTION("""COMPUTED_VALUE"""),"Zscore= 2.9. It is the best score ")</f>
        <v xml:space="preserve">Zscore= 2.9. It is the best score </v>
      </c>
      <c r="D10" s="6"/>
    </row>
    <row r="11" spans="1:4" ht="15.75" customHeight="1" x14ac:dyDescent="0.15">
      <c r="A11" s="5" t="s">
        <v>10</v>
      </c>
      <c r="B11" s="6" t="str">
        <f ca="1">IFERROR(__xludf.DUMMYFUNCTION("""COMPUTED_VALUE"""),"Cole #60
%ID: 99.07 eval: 6e-57
Q:1 S:1
Elesar #58
%ID: 97.2 eval: 3e-55
Q:1 S:1
Nandita #64
%ID: 80.91 eval: 2e-45
Q:4 S:6")</f>
        <v>Cole #60
%ID: 99.07 eval: 6e-57
Q:1 S:1
Elesar #58
%ID: 97.2 eval: 3e-55
Q:1 S:1
Nandita #64
%ID: 80.91 eval: 2e-45
Q:4 S:6</v>
      </c>
      <c r="C11" s="6" t="str">
        <f ca="1">IFERROR(__xludf.DUMMYFUNCTION("""COMPUTED_VALUE"""),"nuclease [Arthrobacter phage Nandita]. 1e-57. % Identity: 84.76%. q4:s4")</f>
        <v>nuclease [Arthrobacter phage Nandita]. 1e-57. % Identity: 84.76%. q4:s4</v>
      </c>
      <c r="D11" s="6"/>
    </row>
    <row r="12" spans="1:4" ht="15.75" customHeight="1" x14ac:dyDescent="0.15">
      <c r="A12" s="5" t="s">
        <v>11</v>
      </c>
      <c r="B12" s="6" t="str">
        <f ca="1">IFERROR(__xludf.DUMMYFUNCTION("""COMPUTED_VALUE"""),"Schism's start (#25) is conserved within the FF cluster in this pham, but other clusters like AL call a different start. (#20) however other clusters do not have this start. But it is well conserved in starterator, being seen in 34% of these phages and ca"&amp;"lled most of the time")</f>
        <v>Schism's start (#25) is conserved within the FF cluster in this pham, but other clusters like AL call a different start. (#20) however other clusters do not have this start. But it is well conserved in starterator, being seen in 34% of these phages and called most of the time</v>
      </c>
      <c r="C12" s="6" t="str">
        <f ca="1">IFERROR(__xludf.DUMMYFUNCTION("""COMPUTED_VALUE"""),"It is conserved in 1/3 of the members and called 93% of the time")</f>
        <v>It is conserved in 1/3 of the members and called 93% of the time</v>
      </c>
      <c r="D12" s="6"/>
    </row>
    <row r="13" spans="1:4" ht="15.75" customHeight="1" x14ac:dyDescent="0.15">
      <c r="A13" s="5" t="s">
        <v>12</v>
      </c>
      <c r="B13" s="6" t="str">
        <f ca="1">IFERROR(__xludf.DUMMYFUNCTION("""COMPUTED_VALUE"""),"No, pushing the start back will cause too big of an overlap, starterator conserves this start, and it has the highest z-score.")</f>
        <v>No, pushing the start back will cause too big of an overlap, starterator conserves this start, and it has the highest z-score.</v>
      </c>
      <c r="C13" s="6" t="str">
        <f ca="1">IFERROR(__xludf.DUMMYFUNCTION("""COMPUTED_VALUE"""),"No")</f>
        <v>No</v>
      </c>
      <c r="D13" s="6"/>
    </row>
    <row r="14" spans="1:4" ht="15.75" customHeight="1" x14ac:dyDescent="0.15">
      <c r="A14" s="5" t="s">
        <v>13</v>
      </c>
      <c r="B14" s="6" t="str">
        <f ca="1">IFERROR(__xludf.DUMMYFUNCTION("""COMPUTED_VALUE"""),"Cole #60 eval: 6e-57
Elesar #58 eval: 3e-55
Nandita #64 eval: 2e-45")</f>
        <v>Cole #60 eval: 6e-57
Elesar #58 eval: 3e-55
Nandita #64 eval: 2e-45</v>
      </c>
      <c r="C14" s="6" t="str">
        <f ca="1">IFERROR(__xludf.DUMMYFUNCTION("""COMPUTED_VALUE"""),"Nandita_64, nuclease, 2e-45")</f>
        <v>Nandita_64, nuclease, 2e-45</v>
      </c>
      <c r="D14" s="6"/>
    </row>
    <row r="15" spans="1:4" ht="15.75" customHeight="1" x14ac:dyDescent="0.15">
      <c r="A15" s="5" t="s">
        <v>14</v>
      </c>
      <c r="B15" s="6" t="str">
        <f ca="1">IFERROR(__xludf.DUMMYFUNCTION("""COMPUTED_VALUE"""),"Cole #60 (holliday junction resolvase)
Elesar #58 (nuclease)
Nandita #64 (nuclease)")</f>
        <v>Cole #60 (holliday junction resolvase)
Elesar #58 (nuclease)
Nandita #64 (nuclease)</v>
      </c>
      <c r="C15" s="6" t="str">
        <f ca="1">IFERROR(__xludf.DUMMYFUNCTION("""COMPUTED_VALUE"""),"Nandita_64, nuclease")</f>
        <v>Nandita_64, nuclease</v>
      </c>
      <c r="D15" s="6"/>
    </row>
    <row r="16" spans="1:4" ht="15.75" customHeight="1" x14ac:dyDescent="0.15">
      <c r="A16" s="5" t="s">
        <v>15</v>
      </c>
      <c r="B16" s="6" t="str">
        <f ca="1">IFERROR(__xludf.DUMMYFUNCTION("""COMPUTED_VALUE"""),"Yes, the gene fits well in its genetic environment. It is surrounded by adjacent hypothetical proteins on both sides, and aligns well with its close cluster member Nandita.")</f>
        <v>Yes, the gene fits well in its genetic environment. It is surrounded by adjacent hypothetical proteins on both sides, and aligns well with its close cluster member Nandita.</v>
      </c>
      <c r="C16" s="6" t="str">
        <f ca="1">IFERROR(__xludf.DUMMYFUNCTION("""COMPUTED_VALUE"""),"It is in the same genetic enviornment as nandita ")</f>
        <v xml:space="preserve">It is in the same genetic enviornment as nandita </v>
      </c>
      <c r="D16" s="6"/>
    </row>
    <row r="17" spans="1:4" ht="15.75" customHeight="1" x14ac:dyDescent="0.15">
      <c r="A17" s="5" t="s">
        <v>16</v>
      </c>
      <c r="B17" s="6" t="str">
        <f ca="1">IFERROR(__xludf.DUMMYFUNCTION("""COMPUTED_VALUE"""),"DESC: Nuclease; Nuclease, HYDROLASE; HET: SO4; 1.85A {Salmonella phage SETP3} SCOP: c.52.1.35
Prob: 99.8 %alt: 98.9 %alq: 85.2
I don't know if the functional domain is included, the PDB says disordered binding (needs more research)")</f>
        <v>DESC: Nuclease; Nuclease, HYDROLASE; HET: SO4; 1.85A {Salmonella phage SETP3} SCOP: c.52.1.35
Prob: 99.8 %alt: 98.9 %alq: 85.2
I don't know if the functional domain is included, the PDB says disordered binding (needs more research)</v>
      </c>
      <c r="C17" s="6" t="str">
        <f ca="1">IFERROR(__xludf.DUMMYFUNCTION("""COMPUTED_VALUE"""),"VRR-NUC-like; Virus-type replication repair nuclease. %prob= 99.8. %Q= 9%, %T=.7%")</f>
        <v>VRR-NUC-like; Virus-type replication repair nuclease. %prob= 99.8. %Q= 9%, %T=.7%</v>
      </c>
      <c r="D17" s="6"/>
    </row>
    <row r="18" spans="1:4" ht="15.75" customHeight="1" x14ac:dyDescent="0.15">
      <c r="A18" s="5" t="s">
        <v>17</v>
      </c>
      <c r="B18" s="6" t="str">
        <f ca="1">IFERROR(__xludf.DUMMYFUNCTION("""COMPUTED_VALUE"""),"yes - VRR-NUC; This model contains proteins with the VRR-NUC domain. It is associated with members of the PD-(D/E)XK nuclease superfamily, which include the type III restriction modification enzymes, for example StyLTI.")</f>
        <v>yes - VRR-NUC; This model contains proteins with the VRR-NUC domain. It is associated with members of the PD-(D/E)XK nuclease superfamily, which include the type III restriction modification enzymes, for example StyLTI.</v>
      </c>
      <c r="C18" s="6" t="str">
        <f ca="1">IFERROR(__xludf.DUMMYFUNCTION("""COMPUTED_VALUE"""),"VRR_NUC")</f>
        <v>VRR_NUC</v>
      </c>
      <c r="D18" s="6"/>
    </row>
    <row r="19" spans="1:4" ht="15.75" customHeight="1" x14ac:dyDescent="0.15">
      <c r="A19" s="5" t="s">
        <v>18</v>
      </c>
      <c r="B19" s="6" t="str">
        <f ca="1">IFERROR(__xludf.DUMMYFUNCTION("""COMPUTED_VALUE"""),"none")</f>
        <v>none</v>
      </c>
      <c r="C19" s="6" t="str">
        <f ca="1">IFERROR(__xludf.DUMMYFUNCTION("""COMPUTED_VALUE"""),"None")</f>
        <v>None</v>
      </c>
      <c r="D19" s="6"/>
    </row>
    <row r="20" spans="1:4" ht="15.75" customHeight="1" x14ac:dyDescent="0.15">
      <c r="A20" s="5" t="s">
        <v>19</v>
      </c>
      <c r="B20" s="6" t="str">
        <f ca="1">IFERROR(__xludf.DUMMYFUNCTION("""COMPUTED_VALUE"""),"nuclease")</f>
        <v>nuclease</v>
      </c>
      <c r="C20" s="6" t="str">
        <f ca="1">IFERROR(__xludf.DUMMYFUNCTION("""COMPUTED_VALUE"""),"Nuclease, This is due to the synteny of Nandita, the NCBI blast, HHpred, and phagesdb blast.")</f>
        <v>Nuclease, This is due to the synteny of Nandita, the NCBI blast, HHpred, and phagesdb blast.</v>
      </c>
      <c r="D20" s="6"/>
    </row>
    <row r="21" spans="1:4" x14ac:dyDescent="0.2">
      <c r="A21" s="7"/>
      <c r="B21" s="8"/>
      <c r="C21" s="8"/>
      <c r="D21" s="8"/>
    </row>
    <row r="22" spans="1:4" ht="15.75" customHeight="1" x14ac:dyDescent="0.15">
      <c r="A22" s="9" t="s">
        <v>20</v>
      </c>
      <c r="B22" s="8" t="str">
        <f ca="1">IFERROR(__xludf.DUMMYFUNCTION("""COMPUTED_VALUE"""),"(you may need to look into it being a Holliday junction resolvase) I'm pretty sure its a nuclease, but i'd hate to miss something")</f>
        <v>(you may need to look into it being a Holliday junction resolvase) I'm pretty sure its a nuclease, but i'd hate to miss something</v>
      </c>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outlinePr summaryBelow="0" summaryRight="0"/>
  </sheetPr>
  <dimension ref="A1:D997"/>
  <sheetViews>
    <sheetView workbookViewId="0">
      <selection activeCell="C9" sqref="C9"/>
    </sheetView>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IFERROR(__xludf.DUMMYFUNCTION("IMPORTRANGE(""https://docs.google.com/spreadsheets/d/14y37YetMnZx9r75GG6HNm6HxdMfX_704WhJDUt8FSgU"", ""S67!B1:B22"")"),"Braden Brennan")</f>
        <v>Braden Brennan</v>
      </c>
      <c r="C1" s="11" t="str">
        <f ca="1">IFERROR(__xludf.DUMMYFUNCTION("IMPORTRANGE(""https://docs.google.com/spreadsheets/d/1rjebY3ldoEXrRbLWoPXCIhvF_kMyOvJr_yst6T3o1Qk"", ""S67!B1:B22"")"),"Zachary Edwards")</f>
        <v>Zachary Edwards</v>
      </c>
      <c r="D1" s="2" t="s">
        <v>0</v>
      </c>
    </row>
    <row r="2" spans="1:4" ht="15.75" customHeight="1" x14ac:dyDescent="0.15">
      <c r="A2" s="3" t="s">
        <v>1</v>
      </c>
      <c r="B2" s="4" t="str">
        <f ca="1">IFERROR(__xludf.DUMMYFUNCTION("""COMPUTED_VALUE"""),"41318 - 42097 forward")</f>
        <v>41318 - 42097 forward</v>
      </c>
      <c r="C2" s="4" t="str">
        <f ca="1">IFERROR(__xludf.DUMMYFUNCTION("""COMPUTED_VALUE"""),"DNAM Start:41318 - Stop:42097
PHAM Start:41318 - Stop:42097
FOR")</f>
        <v>DNAM Start:41318 - Stop:42097
PHAM Start:41318 - Stop:42097
FOR</v>
      </c>
      <c r="D2" s="4"/>
    </row>
    <row r="3" spans="1:4" ht="15.75" customHeight="1" x14ac:dyDescent="0.15">
      <c r="A3" s="5" t="s">
        <v>2</v>
      </c>
      <c r="B3" s="6" t="str">
        <f ca="1">IFERROR(__xludf.DUMMYFUNCTION("""COMPUTED_VALUE"""),"67 in pham and 65 in DNAM")</f>
        <v>67 in pham and 65 in DNAM</v>
      </c>
      <c r="C3" s="6" t="str">
        <f ca="1">IFERROR(__xludf.DUMMYFUNCTION("""COMPUTED_VALUE"""),"DNAM:65
PHAM:67")</f>
        <v>DNAM:65
PHAM:67</v>
      </c>
      <c r="D3" s="6"/>
    </row>
    <row r="4" spans="1:4" ht="15.75" customHeight="1" x14ac:dyDescent="0.15">
      <c r="A4" s="5" t="s">
        <v>3</v>
      </c>
      <c r="B4" s="6" t="str">
        <f ca="1">IFERROR(__xludf.DUMMYFUNCTION("""COMPUTED_VALUE"""),"pham 87631 4/18/2025")</f>
        <v>pham 87631 4/18/2025</v>
      </c>
      <c r="C4" s="6" t="str">
        <f ca="1">IFERROR(__xludf.DUMMYFUNCTION("""COMPUTED_VALUE"""),"87631 3/31/25")</f>
        <v>87631 3/31/25</v>
      </c>
      <c r="D4" s="6"/>
    </row>
    <row r="5" spans="1:4" ht="15.75" customHeight="1" x14ac:dyDescent="0.15">
      <c r="A5" s="5" t="s">
        <v>4</v>
      </c>
      <c r="B5" s="6"/>
      <c r="C5" s="6" t="str">
        <f ca="1">IFERROR(__xludf.DUMMYFUNCTION("""COMPUTED_VALUE"""),"Nandita_65")</f>
        <v>Nandita_65</v>
      </c>
      <c r="D5" s="6"/>
    </row>
    <row r="6" spans="1:4" ht="15.75" customHeight="1" x14ac:dyDescent="0.15">
      <c r="A6" s="5" t="s">
        <v>5</v>
      </c>
      <c r="B6" s="6" t="str">
        <f ca="1">IFERROR(__xludf.DUMMYFUNCTION("""COMPUTED_VALUE"""),"Original Glimmer call @bp 41318 has strength 6.32")</f>
        <v>Original Glimmer call @bp 41318 has strength 6.32</v>
      </c>
      <c r="C6" s="6" t="str">
        <f ca="1">IFERROR(__xludf.DUMMYFUNCTION("""COMPUTED_VALUE"""),"Both agree on start")</f>
        <v>Both agree on start</v>
      </c>
      <c r="D6" s="6"/>
    </row>
    <row r="7" spans="1:4" ht="15.75" customHeight="1" x14ac:dyDescent="0.15">
      <c r="A7" s="5" t="s">
        <v>6</v>
      </c>
      <c r="B7" s="6" t="str">
        <f ca="1">IFERROR(__xludf.DUMMYFUNCTION("""COMPUTED_VALUE"""),"good coding potential but has two massive drops")</f>
        <v>good coding potential but has two massive drops</v>
      </c>
      <c r="C7" s="6" t="str">
        <f ca="1">IFERROR(__xludf.DUMMYFUNCTION("""COMPUTED_VALUE"""),"Yes")</f>
        <v>Yes</v>
      </c>
      <c r="D7" s="6"/>
    </row>
    <row r="8" spans="1:4" ht="15.75" customHeight="1" x14ac:dyDescent="0.15">
      <c r="A8" s="5" t="s">
        <v>7</v>
      </c>
      <c r="B8" s="6" t="str">
        <f ca="1">IFERROR(__xludf.DUMMYFUNCTION("""COMPUTED_VALUE"""),"Yes longest possible")</f>
        <v>Yes longest possible</v>
      </c>
      <c r="C8" s="6" t="str">
        <f ca="1">IFERROR(__xludf.DUMMYFUNCTION("""COMPUTED_VALUE"""),"Yes")</f>
        <v>Yes</v>
      </c>
      <c r="D8" s="6"/>
    </row>
    <row r="9" spans="1:4" ht="15.75" customHeight="1" x14ac:dyDescent="0.15">
      <c r="A9" s="5" t="s">
        <v>8</v>
      </c>
      <c r="B9" s="6">
        <f ca="1">IFERROR(__xludf.DUMMYFUNCTION("""COMPUTED_VALUE"""),-3)</f>
        <v>-3</v>
      </c>
      <c r="C9" s="6" t="str">
        <f ca="1">IFERROR(__xludf.DUMMYFUNCTION("""COMPUTED_VALUE"""),"3 NT Overlap")</f>
        <v>3 NT Overlap</v>
      </c>
      <c r="D9" s="6"/>
    </row>
    <row r="10" spans="1:4" ht="15.75" customHeight="1" x14ac:dyDescent="0.15">
      <c r="A10" s="5" t="s">
        <v>9</v>
      </c>
      <c r="B10" s="6" t="str">
        <f ca="1">IFERROR(__xludf.DUMMYFUNCTION("""COMPUTED_VALUE"""),"SD: -4.410  Z: 1.751  FINAL: -5.535")</f>
        <v>SD: -4.410  Z: 1.751  FINAL: -5.535</v>
      </c>
      <c r="C10" s="6" t="str">
        <f ca="1">IFERROR(__xludf.DUMMYFUNCTION("""COMPUTED_VALUE"""),"Current 2.444 (41318) second best
Best: 2.473 (41714)")</f>
        <v>Current 2.444 (41318) second best
Best: 2.473 (41714)</v>
      </c>
      <c r="D10" s="6"/>
    </row>
    <row r="11" spans="1:4" ht="15.75" customHeight="1" x14ac:dyDescent="0.15">
      <c r="A11" s="5" t="s">
        <v>10</v>
      </c>
      <c r="B11" s="6" t="str">
        <f ca="1">IFERROR(__xludf.DUMMYFUNCTION("""COMPUTED_VALUE"""),"hypothetical protein QEO79_gp37 [Arthrobacter phage Elesar] 83.39% identity)2.14952e-160")</f>
        <v>hypothetical protein QEO79_gp37 [Arthrobacter phage Elesar] 83.39% identity)2.14952e-160</v>
      </c>
      <c r="C11" s="6" t="str">
        <f ca="1">IFERROR(__xludf.DUMMYFUNCTION("""COMPUTED_VALUE"""),"Nandita_65
%ID:80.69%
E:4e-159
1:1")</f>
        <v>Nandita_65
%ID:80.69%
E:4e-159
1:1</v>
      </c>
      <c r="D11" s="6"/>
    </row>
    <row r="12" spans="1:4" ht="15.75" customHeight="1" x14ac:dyDescent="0.15">
      <c r="A12" s="5" t="s">
        <v>11</v>
      </c>
      <c r="B12" s="6" t="str">
        <f ca="1">IFERROR(__xludf.DUMMYFUNCTION("""COMPUTED_VALUE"""),"Found in 21 of 26 ( 80.8% ) of genes in pham called 100% of the time")</f>
        <v>Found in 21 of 26 ( 80.8% ) of genes in pham called 100% of the time</v>
      </c>
      <c r="C12" s="6" t="str">
        <f ca="1">IFERROR(__xludf.DUMMYFUNCTION("""COMPUTED_VALUE"""),"21 of 26 call current start (mostly FF)")</f>
        <v>21 of 26 call current start (mostly FF)</v>
      </c>
      <c r="D12" s="6"/>
    </row>
    <row r="13" spans="1:4" ht="15.75" customHeight="1" x14ac:dyDescent="0.15">
      <c r="A13" s="5" t="s">
        <v>12</v>
      </c>
      <c r="B13" s="6" t="str">
        <f ca="1">IFERROR(__xludf.DUMMYFUNCTION("""COMPUTED_VALUE"""),"No its start makes too much sense ")</f>
        <v xml:space="preserve">No its start makes too much sense </v>
      </c>
      <c r="C13" s="6" t="str">
        <f ca="1">IFERROR(__xludf.DUMMYFUNCTION("""COMPUTED_VALUE"""),"Not enough evidence to.")</f>
        <v>Not enough evidence to.</v>
      </c>
      <c r="D13" s="6"/>
    </row>
    <row r="14" spans="1:4" ht="15.75" customHeight="1" x14ac:dyDescent="0.15">
      <c r="A14" s="5" t="s">
        <v>13</v>
      </c>
      <c r="B14" s="6" t="str">
        <f ca="1">IFERROR(__xludf.DUMMYFUNCTION("""COMPUTED_VALUE"""),"Guinevere_Draft	67	function unknown")</f>
        <v>Guinevere_Draft	67	function unknown</v>
      </c>
      <c r="C14" s="6" t="str">
        <f ca="1">IFERROR(__xludf.DUMMYFUNCTION("""COMPUTED_VALUE"""),"Nandita_65
E: e-128")</f>
        <v>Nandita_65
E: e-128</v>
      </c>
      <c r="D14" s="6"/>
    </row>
    <row r="15" spans="1:4" ht="15.75" customHeight="1" x14ac:dyDescent="0.15">
      <c r="A15" s="5" t="s">
        <v>14</v>
      </c>
      <c r="B15" s="6" t="str">
        <f ca="1">IFERROR(__xludf.DUMMYFUNCTION("""COMPUTED_VALUE"""),"all shown as function unknown ")</f>
        <v xml:space="preserve">all shown as function unknown </v>
      </c>
      <c r="C15" s="6" t="str">
        <f ca="1">IFERROR(__xludf.DUMMYFUNCTION("""COMPUTED_VALUE"""),"Unknown function")</f>
        <v>Unknown function</v>
      </c>
      <c r="D15" s="6"/>
    </row>
    <row r="16" spans="1:4" ht="15.75" customHeight="1" x14ac:dyDescent="0.15">
      <c r="A16" s="5" t="s">
        <v>15</v>
      </c>
      <c r="B16" s="6" t="str">
        <f ca="1">IFERROR(__xludf.DUMMYFUNCTION("""COMPUTED_VALUE"""),"Seems to look good in the sequence ")</f>
        <v xml:space="preserve">Seems to look good in the sequence </v>
      </c>
      <c r="C16" s="6" t="str">
        <f ca="1">IFERROR(__xludf.DUMMYFUNCTION("""COMPUTED_VALUE"""),"Same genetic environment as Nandita")</f>
        <v>Same genetic environment as Nandita</v>
      </c>
      <c r="D16" s="6"/>
    </row>
    <row r="17" spans="1:4" ht="15.75" customHeight="1" x14ac:dyDescent="0.15">
      <c r="A17" s="5" t="s">
        <v>16</v>
      </c>
      <c r="B17" s="6" t="str">
        <f ca="1">IFERROR(__xludf.DUMMYFUNCTION("""COMPUTED_VALUE"""),"VCIP135_N - 95% probability ")</f>
        <v xml:space="preserve">VCIP135_N - 95% probability </v>
      </c>
      <c r="C17" s="6" t="str">
        <f ca="1">IFERROR(__xludf.DUMMYFUNCTION("""COMPUTED_VALUE"""),"PF19437.4 ; VCIP135_N ; VCIP135 N-terminal
Probability: 95%,
Align Q: 25.1%
Align T: 39.16%")</f>
        <v>PF19437.4 ; VCIP135_N ; VCIP135 N-terminal
Probability: 95%,
Align Q: 25.1%
Align T: 39.16%</v>
      </c>
      <c r="D17" s="6"/>
    </row>
    <row r="18" spans="1:4" ht="15.75" customHeight="1" x14ac:dyDescent="0.15">
      <c r="A18" s="5" t="s">
        <v>17</v>
      </c>
      <c r="B18" s="6" t="str">
        <f ca="1">IFERROR(__xludf.DUMMYFUNCTION("""COMPUTED_VALUE"""),"VRR_NUC - nuclease superfamily, which include the type III restriction modification enzymes")</f>
        <v>VRR_NUC - nuclease superfamily, which include the type III restriction modification enzymes</v>
      </c>
      <c r="C18" s="6" t="str">
        <f ca="1">IFERROR(__xludf.DUMMYFUNCTION("""COMPUTED_VALUE"""),"Duf")</f>
        <v>Duf</v>
      </c>
      <c r="D18" s="6"/>
    </row>
    <row r="19" spans="1:4" ht="15.75" customHeight="1" x14ac:dyDescent="0.15">
      <c r="A19" s="5" t="s">
        <v>18</v>
      </c>
      <c r="B19" s="6" t="str">
        <f ca="1">IFERROR(__xludf.DUMMYFUNCTION("""COMPUTED_VALUE"""),"Interior with a probability of 1")</f>
        <v>Interior with a probability of 1</v>
      </c>
      <c r="C19" s="6" t="str">
        <f ca="1">IFERROR(__xludf.DUMMYFUNCTION("""COMPUTED_VALUE"""),"N/A")</f>
        <v>N/A</v>
      </c>
      <c r="D19" s="6"/>
    </row>
    <row r="20" spans="1:4" ht="15.75" customHeight="1" x14ac:dyDescent="0.15">
      <c r="A20" s="5" t="s">
        <v>19</v>
      </c>
      <c r="B20" s="6" t="str">
        <f ca="1">IFERROR(__xludf.DUMMYFUNCTION("""COMPUTED_VALUE"""),"HYpothetical protein but could be a nuclease")</f>
        <v>HYpothetical protein but could be a nuclease</v>
      </c>
      <c r="C20" s="6" t="str">
        <f ca="1">IFERROR(__xludf.DUMMYFUNCTION("""COMPUTED_VALUE"""),"Hypotehtical protein")</f>
        <v>Hypotehtical protein</v>
      </c>
      <c r="D20" s="6"/>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outlinePr summaryBelow="0" summaryRight="0"/>
  </sheetPr>
  <dimension ref="A1:D997"/>
  <sheetViews>
    <sheetView tabSelected="1" workbookViewId="0">
      <selection activeCell="B7" sqref="B7"/>
    </sheetView>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IFERROR(__xludf.DUMMYFUNCTION("IMPORTRANGE(""https://docs.google.com/spreadsheets/d/14y37YetMnZx9r75GG6HNm6HxdMfX_704WhJDUt8FSgU"", ""S68!B1:B22"")"),"Braden Brennan")</f>
        <v>Braden Brennan</v>
      </c>
      <c r="C1" s="10" t="str">
        <f ca="1">IFERROR(__xludf.DUMMYFUNCTION("IMPORTRANGE(""https://docs.google.com/spreadsheets/d/1K_SrfyQXDNcl5UVETvGMAvEDUHr5HCmSgfuNiyo2M-k"", ""S68!B1:B22"")"),"Korie Hall")</f>
        <v>Korie Hall</v>
      </c>
      <c r="D1" s="11" t="str">
        <f ca="1">IFERROR(__xludf.DUMMYFUNCTION("IMPORTRANGE(""https://docs.google.com/spreadsheets/d/1mDoveT5ogJcal0bN308rf9jioMYsAcKe21Otdt4nuTk"", ""S68!B1:B22"")"),"Put Your Name Here")</f>
        <v>Put Your Name Here</v>
      </c>
    </row>
    <row r="2" spans="1:4" ht="15.75" customHeight="1" x14ac:dyDescent="0.15">
      <c r="A2" s="3" t="s">
        <v>1</v>
      </c>
      <c r="B2" s="4" t="str">
        <f ca="1">IFERROR(__xludf.DUMMYFUNCTION("""COMPUTED_VALUE"""),"42094 - 42291 forward ")</f>
        <v xml:space="preserve">42094 - 42291 forward </v>
      </c>
      <c r="C2" s="4" t="str">
        <f ca="1">IFERROR(__xludf.DUMMYFUNCTION("""COMPUTED_VALUE"""),"Start: 42094 / Stop: 42291")</f>
        <v>Start: 42094 / Stop: 42291</v>
      </c>
      <c r="D2" s="4" t="str">
        <f ca="1">IFERROR(__xludf.DUMMYFUNCTION("""COMPUTED_VALUE"""),"42094 - 42291 FOW")</f>
        <v>42094 - 42291 FOW</v>
      </c>
    </row>
    <row r="3" spans="1:4" ht="15.75" customHeight="1" x14ac:dyDescent="0.15">
      <c r="A3" s="5" t="s">
        <v>2</v>
      </c>
      <c r="B3" s="6" t="str">
        <f ca="1">IFERROR(__xludf.DUMMYFUNCTION("""COMPUTED_VALUE"""),"Pham: 68   DNAM:66")</f>
        <v>Pham: 68   DNAM:66</v>
      </c>
      <c r="C3" s="6" t="str">
        <f ca="1">IFERROR(__xludf.DUMMYFUNCTION("""COMPUTED_VALUE"""),"DNA Master: Gene 66 / Phamerator: Gene 68")</f>
        <v>DNA Master: Gene 66 / Phamerator: Gene 68</v>
      </c>
      <c r="D3" s="6" t="str">
        <f ca="1">IFERROR(__xludf.DUMMYFUNCTION("""COMPUTED_VALUE"""),"DNA Mater_66
Phamerator_68")</f>
        <v>DNA Mater_66
Phamerator_68</v>
      </c>
    </row>
    <row r="4" spans="1:4" ht="15.75" customHeight="1" x14ac:dyDescent="0.15">
      <c r="A4" s="5" t="s">
        <v>3</v>
      </c>
      <c r="B4" s="6" t="str">
        <f ca="1">IFERROR(__xludf.DUMMYFUNCTION("""COMPUTED_VALUE"""),"pham 90335 4/18/2025")</f>
        <v>pham 90335 4/18/2025</v>
      </c>
      <c r="C4" s="6">
        <f ca="1">IFERROR(__xludf.DUMMYFUNCTION("""COMPUTED_VALUE"""),90355)</f>
        <v>90355</v>
      </c>
      <c r="D4" s="6" t="str">
        <f ca="1">IFERROR(__xludf.DUMMYFUNCTION("""COMPUTED_VALUE"""),"90335 4/17/25")</f>
        <v>90335 4/17/25</v>
      </c>
    </row>
    <row r="5" spans="1:4" ht="15.75" customHeight="1" x14ac:dyDescent="0.15">
      <c r="A5" s="5" t="s">
        <v>4</v>
      </c>
      <c r="B5" s="6"/>
      <c r="C5" s="6" t="str">
        <f ca="1">IFERROR(__xludf.DUMMYFUNCTION("""COMPUTED_VALUE"""),"Guinevere_68")</f>
        <v>Guinevere_68</v>
      </c>
      <c r="D5" s="6" t="str">
        <f ca="1">IFERROR(__xludf.DUMMYFUNCTION("""COMPUTED_VALUE"""),"Guinevere_68")</f>
        <v>Guinevere_68</v>
      </c>
    </row>
    <row r="6" spans="1:4" ht="15.75" customHeight="1" x14ac:dyDescent="0.15">
      <c r="A6" s="5" t="s">
        <v>5</v>
      </c>
      <c r="B6" s="6" t="str">
        <f ca="1">IFERROR(__xludf.DUMMYFUNCTION("""COMPUTED_VALUE"""),"Original Glimmer call @bp 42094 has strength 12.26")</f>
        <v>Original Glimmer call @bp 42094 has strength 12.26</v>
      </c>
      <c r="C6" s="6" t="str">
        <f ca="1">IFERROR(__xludf.DUMMYFUNCTION("""COMPUTED_VALUE"""),"Glimmer and GeneMark call @42094")</f>
        <v>Glimmer and GeneMark call @42094</v>
      </c>
      <c r="D6" s="6" t="str">
        <f ca="1">IFERROR(__xludf.DUMMYFUNCTION("""COMPUTED_VALUE"""),"both call @ bp 42094")</f>
        <v>both call @ bp 42094</v>
      </c>
    </row>
    <row r="7" spans="1:4" ht="15.75" customHeight="1" x14ac:dyDescent="0.15">
      <c r="A7" s="5" t="s">
        <v>6</v>
      </c>
      <c r="B7" s="6" t="str">
        <f ca="1">IFERROR(__xludf.DUMMYFUNCTION("""COMPUTED_VALUE"""),"Good coding potential")</f>
        <v>Good coding potential</v>
      </c>
      <c r="C7" s="6" t="str">
        <f ca="1">IFERROR(__xludf.DUMMYFUNCTION("""COMPUTED_VALUE"""),"Start catches all coding potential")</f>
        <v>Start catches all coding potential</v>
      </c>
      <c r="D7" s="6" t="str">
        <f ca="1">IFERROR(__xludf.DUMMYFUNCTION("""COMPUTED_VALUE"""),"all coding potential included, not much coding potential ")</f>
        <v xml:space="preserve">all coding potential included, not much coding potential </v>
      </c>
    </row>
    <row r="8" spans="1:4" ht="15.75" customHeight="1" x14ac:dyDescent="0.15">
      <c r="A8" s="5" t="s">
        <v>7</v>
      </c>
      <c r="B8" s="6" t="str">
        <f ca="1">IFERROR(__xludf.DUMMYFUNCTION("""COMPUTED_VALUE"""),"No and lines up well with on of gene 67's spikes  ")</f>
        <v xml:space="preserve">No and lines up well with on of gene 67's spikes  </v>
      </c>
      <c r="C8" s="6" t="str">
        <f ca="1">IFERROR(__xludf.DUMMYFUNCTION("""COMPUTED_VALUE"""),"Two other possible ORF")</f>
        <v>Two other possible ORF</v>
      </c>
      <c r="D8" s="6" t="str">
        <f ca="1">IFERROR(__xludf.DUMMYFUNCTION("""COMPUTED_VALUE"""),"No, two previous starts ")</f>
        <v xml:space="preserve">No, two previous starts </v>
      </c>
    </row>
    <row r="9" spans="1:4" ht="15.75" customHeight="1" x14ac:dyDescent="0.15">
      <c r="A9" s="5" t="s">
        <v>8</v>
      </c>
      <c r="B9" s="6" t="str">
        <f ca="1">IFERROR(__xludf.DUMMYFUNCTION("""COMPUTED_VALUE"""),"3 nucleotide overlap")</f>
        <v>3 nucleotide overlap</v>
      </c>
      <c r="C9" s="6" t="str">
        <f ca="1">IFERROR(__xludf.DUMMYFUNCTION("""COMPUTED_VALUE"""),"3 bp overlap with Gene 67")</f>
        <v>3 bp overlap with Gene 67</v>
      </c>
      <c r="D9" s="6" t="str">
        <f ca="1">IFERROR(__xludf.DUMMYFUNCTION("""COMPUTED_VALUE"""),"3 nt overlap ")</f>
        <v xml:space="preserve">3 nt overlap </v>
      </c>
    </row>
    <row r="10" spans="1:4" ht="15.75" customHeight="1" x14ac:dyDescent="0.15">
      <c r="A10" s="5" t="s">
        <v>9</v>
      </c>
      <c r="B10" s="6" t="str">
        <f ca="1">IFERROR(__xludf.DUMMYFUNCTION("""COMPUTED_VALUE"""),"SD: -2.135 Z: 2.825  FINAL: -3.357")</f>
        <v>SD: -2.135 Z: 2.825  FINAL: -3.357</v>
      </c>
      <c r="C10" s="6" t="str">
        <f ca="1">IFERROR(__xludf.DUMMYFUNCTION("""COMPUTED_VALUE"""),"Z-score: 2.689 / Final score: -3.217")</f>
        <v>Z-score: 2.689 / Final score: -3.217</v>
      </c>
      <c r="D10" s="6" t="str">
        <f ca="1">IFERROR(__xludf.DUMMYFUNCTION("""COMPUTED_VALUE"""),"Current start has best Z score (2.673)")</f>
        <v>Current start has best Z score (2.673)</v>
      </c>
    </row>
    <row r="11" spans="1:4" ht="15.75" customHeight="1" x14ac:dyDescent="0.15">
      <c r="A11" s="5" t="s">
        <v>10</v>
      </c>
      <c r="B11" s="6" t="str">
        <f ca="1">IFERROR(__xludf.DUMMYFUNCTION("""COMPUTED_VALUE"""),"hypothetical protein QEO75_gp50 [Arthrobacter phage Ryan]- 41.37% idenitity, 2.87606e-25")</f>
        <v>hypothetical protein QEO75_gp50 [Arthrobacter phage Ryan]- 41.37% idenitity, 2.87606e-25</v>
      </c>
      <c r="C11" s="6" t="str">
        <f ca="1">IFERROR(__xludf.DUMMYFUNCTION("""COMPUTED_VALUE"""),"Kukla_74 - % identity: 75% / e-value: 7e-22 q2:s4")</f>
        <v>Kukla_74 - % identity: 75% / e-value: 7e-22 q2:s4</v>
      </c>
      <c r="D11" s="6" t="str">
        <f ca="1">IFERROR(__xludf.DUMMYFUNCTION("""COMPUTED_VALUE"""),"hypothetical protein PBI_RYAN_59
41.3793% identity 
2.87606e-25")</f>
        <v>hypothetical protein PBI_RYAN_59
41.3793% identity 
2.87606e-25</v>
      </c>
    </row>
    <row r="12" spans="1:4" ht="15.75" customHeight="1" x14ac:dyDescent="0.15">
      <c r="A12" s="5" t="s">
        <v>11</v>
      </c>
      <c r="B12" s="6" t="str">
        <f ca="1">IFERROR(__xludf.DUMMYFUNCTION("""COMPUTED_VALUE"""),"Found in 4 of 5 ( 80.0% ) of genes in pham called 100% of the time")</f>
        <v>Found in 4 of 5 ( 80.0% ) of genes in pham called 100% of the time</v>
      </c>
      <c r="C12" s="6" t="str">
        <f ca="1">IFERROR(__xludf.DUMMYFUNCTION("""COMPUTED_VALUE"""),"Found in 4 of 5 members in the pham /Conserved 100% of the time ")</f>
        <v xml:space="preserve">Found in 4 of 5 members in the pham /Conserved 100% of the time </v>
      </c>
      <c r="D12" s="6" t="str">
        <f ca="1">IFERROR(__xludf.DUMMYFUNCTION("""COMPUTED_VALUE"""),"start called most often is current called start called 2/3 times")</f>
        <v>start called most often is current called start called 2/3 times</v>
      </c>
    </row>
    <row r="13" spans="1:4" ht="15.75" customHeight="1" x14ac:dyDescent="0.15">
      <c r="A13" s="5" t="s">
        <v>12</v>
      </c>
      <c r="B13" s="6" t="str">
        <f ca="1">IFERROR(__xludf.DUMMYFUNCTION("""COMPUTED_VALUE"""),"No it fits the sequence better here")</f>
        <v>No it fits the sequence better here</v>
      </c>
      <c r="C13" s="6" t="str">
        <f ca="1">IFERROR(__xludf.DUMMYFUNCTION("""COMPUTED_VALUE"""),"Start should remain. Most called start and has good data as is")</f>
        <v>Start should remain. Most called start and has good data as is</v>
      </c>
      <c r="D13" s="6" t="str">
        <f ca="1">IFERROR(__xludf.DUMMYFUNCTION("""COMPUTED_VALUE"""),"no, the current start has good Z score and shared with other similar genes.")</f>
        <v>no, the current start has good Z score and shared with other similar genes.</v>
      </c>
    </row>
    <row r="14" spans="1:4" ht="15.75" customHeight="1" x14ac:dyDescent="0.15">
      <c r="A14" s="5" t="s">
        <v>13</v>
      </c>
      <c r="B14" s="6" t="str">
        <f ca="1">IFERROR(__xludf.DUMMYFUNCTION("""COMPUTED_VALUE"""),"Guinevere_68	Kukla_74
Popper_67	Ranunculus_55")</f>
        <v>Guinevere_68	Kukla_74
Popper_67	Ranunculus_55</v>
      </c>
      <c r="C14" s="6" t="str">
        <f ca="1">IFERROR(__xludf.DUMMYFUNCTION("""COMPUTED_VALUE"""),"Guinevere_68 - e-value: 2e-29 ")</f>
        <v xml:space="preserve">Guinevere_68 - e-value: 2e-29 </v>
      </c>
      <c r="D14" s="6" t="str">
        <f ca="1">IFERROR(__xludf.DUMMYFUNCTION("""COMPUTED_VALUE"""),"Guinevere_Draft_68
 2e-29 ")</f>
        <v xml:space="preserve">Guinevere_Draft_68
 2e-29 </v>
      </c>
    </row>
    <row r="15" spans="1:4" ht="15.75" customHeight="1" x14ac:dyDescent="0.15">
      <c r="A15" s="5" t="s">
        <v>14</v>
      </c>
      <c r="B15" s="6" t="str">
        <f ca="1">IFERROR(__xludf.DUMMYFUNCTION("""COMPUTED_VALUE"""),"no function listed ")</f>
        <v xml:space="preserve">no function listed </v>
      </c>
      <c r="C15" s="6" t="str">
        <f ca="1">IFERROR(__xludf.DUMMYFUNCTION("""COMPUTED_VALUE"""),"Function Unknown ")</f>
        <v xml:space="preserve">Function Unknown </v>
      </c>
      <c r="D15" s="6" t="str">
        <f ca="1">IFERROR(__xludf.DUMMYFUNCTION("""COMPUTED_VALUE"""),"function uknown ")</f>
        <v xml:space="preserve">function uknown </v>
      </c>
    </row>
    <row r="16" spans="1:4" ht="15.75" customHeight="1" x14ac:dyDescent="0.15">
      <c r="A16" s="5" t="s">
        <v>15</v>
      </c>
      <c r="B16" s="6" t="str">
        <f ca="1">IFERROR(__xludf.DUMMYFUNCTION("""COMPUTED_VALUE"""),"Fits well and matches with the sequence ")</f>
        <v xml:space="preserve">Fits well and matches with the sequence </v>
      </c>
      <c r="C16" s="6" t="str">
        <f ca="1">IFERROR(__xludf.DUMMYFUNCTION("""COMPUTED_VALUE"""),"Function is as expected / adjacent to Guinevere_68")</f>
        <v>Function is as expected / adjacent to Guinevere_68</v>
      </c>
      <c r="D16" s="6" t="str">
        <f ca="1">IFERROR(__xludf.DUMMYFUNCTION("""COMPUTED_VALUE"""),"yes")</f>
        <v>yes</v>
      </c>
    </row>
    <row r="17" spans="1:4" ht="15.75" customHeight="1" x14ac:dyDescent="0.15">
      <c r="A17" s="5" t="s">
        <v>16</v>
      </c>
      <c r="B17" s="6" t="str">
        <f ca="1">IFERROR(__xludf.DUMMYFUNCTION("""COMPUTED_VALUE"""),"Tubulin_2 ; Tubulin like - 63.3% probability                  DUF5026 ; Domain of unknown function 49.8%")</f>
        <v>Tubulin_2 ; Tubulin like - 63.3% probability                  DUF5026 ; Domain of unknown function 49.8%</v>
      </c>
      <c r="C17" s="6" t="str">
        <f ca="1">IFERROR(__xludf.DUMMYFUNCTION("""COMPUTED_VALUE"""),"There were no reliable hits to provide further solid evidence about the gene.")</f>
        <v>There were no reliable hits to provide further solid evidence about the gene.</v>
      </c>
      <c r="D17" s="6" t="str">
        <f ca="1">IFERROR(__xludf.DUMMYFUNCTION("""COMPUTED_VALUE""")," Tubulin_2 ; Tubulin like
probability: 63.34%
% alignment Q: 38.5%
% alignment T: 7.46%
Domain of unknown function (DUF5026)
probability: 49.75%
% alignment Q: 49.75%
% alignment T: 24.4%")</f>
        <v xml:space="preserve"> Tubulin_2 ; Tubulin like
probability: 63.34%
% alignment Q: 38.5%
% alignment T: 7.46%
Domain of unknown function (DUF5026)
probability: 49.75%
% alignment Q: 49.75%
% alignment T: 24.4%</v>
      </c>
    </row>
    <row r="18" spans="1:4" ht="15.75" customHeight="1" x14ac:dyDescent="0.15">
      <c r="A18" s="5" t="s">
        <v>17</v>
      </c>
      <c r="B18" s="6" t="str">
        <f ca="1">IFERROR(__xludf.DUMMYFUNCTION("""COMPUTED_VALUE"""),"No conserve domains listed ")</f>
        <v xml:space="preserve">No conserve domains listed </v>
      </c>
      <c r="C18" s="6" t="str">
        <f ca="1">IFERROR(__xludf.DUMMYFUNCTION("""COMPUTED_VALUE"""),"No conserved domain identified")</f>
        <v>No conserved domain identified</v>
      </c>
      <c r="D18" s="6" t="str">
        <f ca="1">IFERROR(__xludf.DUMMYFUNCTION("""COMPUTED_VALUE"""),"no")</f>
        <v>no</v>
      </c>
    </row>
    <row r="19" spans="1:4" ht="15.75" customHeight="1" x14ac:dyDescent="0.15">
      <c r="A19" s="5" t="s">
        <v>18</v>
      </c>
      <c r="B19" s="6" t="str">
        <f ca="1">IFERROR(__xludf.DUMMYFUNCTION("""COMPUTED_VALUE"""),"Inside probability 1")</f>
        <v>Inside probability 1</v>
      </c>
      <c r="C19" s="6" t="str">
        <f ca="1">IFERROR(__xludf.DUMMYFUNCTION("""COMPUTED_VALUE"""),"No membrane protein identified")</f>
        <v>No membrane protein identified</v>
      </c>
      <c r="D19" s="6" t="str">
        <f ca="1">IFERROR(__xludf.DUMMYFUNCTION("""COMPUTED_VALUE"""),"no")</f>
        <v>no</v>
      </c>
    </row>
    <row r="20" spans="1:4" ht="15.75" customHeight="1" x14ac:dyDescent="0.15">
      <c r="A20" s="5" t="s">
        <v>19</v>
      </c>
      <c r="B20" s="6" t="str">
        <f ca="1">IFERROR(__xludf.DUMMYFUNCTION("""COMPUTED_VALUE"""),"Most likely a Hypothetical protein ")</f>
        <v xml:space="preserve">Most likely a Hypothetical protein </v>
      </c>
      <c r="C20" s="6" t="str">
        <f ca="1">IFERROR(__xludf.DUMMYFUNCTION("""COMPUTED_VALUE"""),"Hypothetical Protein / Function Unknown ( Rationale: There is not enough reliable information to provide a concrete function for the gene. Given the rest of the members in the pham are a unknown function--even with the ones having a identified function th"&amp;"e e-values aren't the best--it can be presumed that for now there is a hypothetical protein. ) ")</f>
        <v xml:space="preserve">Hypothetical Protein / Function Unknown ( Rationale: There is not enough reliable information to provide a concrete function for the gene. Given the rest of the members in the pham are a unknown function--even with the ones having a identified function the e-values aren't the best--it can be presumed that for now there is a hypothetical protein. ) </v>
      </c>
      <c r="D20" s="6" t="str">
        <f ca="1">IFERROR(__xludf.DUMMYFUNCTION("""COMPUTED_VALUE"""),"hypothetical protein, HHPred and Phagesdb support. ")</f>
        <v xml:space="preserve">hypothetical protein, HHPred and Phagesdb support. </v>
      </c>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IFERROR(__xludf.DUMMYFUNCTION("IMPORTRANGE(""https://docs.google.com/spreadsheets/d/1xJbcWhjJwppoDUCHCotLHO1vyy_ugWR-w2T_Z5J7WD4"", ""S69!B1:B22"")"),"Rin Godfrey")</f>
        <v>Rin Godfrey</v>
      </c>
      <c r="C1" s="11" t="str">
        <f ca="1">IFERROR(__xludf.DUMMYFUNCTION("IMPORTRANGE(""https://docs.google.com/spreadsheets/d/1u6ZP_AyBJKGOZ-m1erEe8ylMC_0IEsUBTvQJRRPiF5g"", ""S69!B1:B22"")"),"Erin Loudermilk")</f>
        <v>Erin Loudermilk</v>
      </c>
      <c r="D1" s="11" t="str">
        <f ca="1">IFERROR(__xludf.DUMMYFUNCTION("IMPORTRANGE(""https://docs.google.com/spreadsheets/d/1WNEoccD374LriG_Vfas93mZuqp-YxPt_JlqNi2GnBVU"", ""S69!B1:B22"")"),"Tyler Thibodeaux ")</f>
        <v xml:space="preserve">Tyler Thibodeaux </v>
      </c>
    </row>
    <row r="2" spans="1:4" ht="15.75" customHeight="1" x14ac:dyDescent="0.15">
      <c r="A2" s="3" t="s">
        <v>1</v>
      </c>
      <c r="B2" s="4" t="str">
        <f ca="1">IFERROR(__xludf.DUMMYFUNCTION("""COMPUTED_VALUE"""),"42288 - 42599 FOR")</f>
        <v>42288 - 42599 FOR</v>
      </c>
      <c r="C2" s="4" t="str">
        <f ca="1">IFERROR(__xludf.DUMMYFUNCTION("""COMPUTED_VALUE"""),"42288 - 42599 FOR")</f>
        <v>42288 - 42599 FOR</v>
      </c>
      <c r="D2" s="4" t="str">
        <f ca="1">IFERROR(__xludf.DUMMYFUNCTION("""COMPUTED_VALUE"""),"42288 to 42599 (Forward)")</f>
        <v>42288 to 42599 (Forward)</v>
      </c>
    </row>
    <row r="3" spans="1:4" ht="15.75" customHeight="1" x14ac:dyDescent="0.15">
      <c r="A3" s="5" t="s">
        <v>2</v>
      </c>
      <c r="B3" s="6" t="str">
        <f ca="1">IFERROR(__xludf.DUMMYFUNCTION("""COMPUTED_VALUE"""),"DNA Master: 67
Phamerater: 69")</f>
        <v>DNA Master: 67
Phamerater: 69</v>
      </c>
      <c r="C3" s="6" t="str">
        <f ca="1">IFERROR(__xludf.DUMMYFUNCTION("""COMPUTED_VALUE"""),"DNA: 67, Pham: 69")</f>
        <v>DNA: 67, Pham: 69</v>
      </c>
      <c r="D3" s="6" t="str">
        <f ca="1">IFERROR(__xludf.DUMMYFUNCTION("""COMPUTED_VALUE"""),"67 in DNAm and 69 in Pham ")</f>
        <v xml:space="preserve">67 in DNAm and 69 in Pham </v>
      </c>
    </row>
    <row r="4" spans="1:4" ht="15.75" customHeight="1" x14ac:dyDescent="0.15">
      <c r="A4" s="5" t="s">
        <v>3</v>
      </c>
      <c r="B4" s="6" t="str">
        <f ca="1">IFERROR(__xludf.DUMMYFUNCTION("""COMPUTED_VALUE"""),"211893 4/17/25")</f>
        <v>211893 4/17/25</v>
      </c>
      <c r="C4" s="6" t="str">
        <f ca="1">IFERROR(__xludf.DUMMYFUNCTION("""COMPUTED_VALUE""")," Pham 211893 (4/11/25)")</f>
        <v xml:space="preserve"> Pham 211893 (4/11/25)</v>
      </c>
      <c r="D4" s="6" t="str">
        <f ca="1">IFERROR(__xludf.DUMMYFUNCTION("""COMPUTED_VALUE""")," pham 211893, 4-17-25")</f>
        <v xml:space="preserve"> pham 211893, 4-17-25</v>
      </c>
    </row>
    <row r="5" spans="1:4" ht="15.75" customHeight="1" x14ac:dyDescent="0.15">
      <c r="A5" s="5" t="s">
        <v>4</v>
      </c>
      <c r="B5" s="6" t="str">
        <f ca="1">IFERROR(__xludf.DUMMYFUNCTION("""COMPUTED_VALUE"""),"Cole_63        Guinevere_69")</f>
        <v>Cole_63        Guinevere_69</v>
      </c>
      <c r="C5" s="6" t="str">
        <f ca="1">IFERROR(__xludf.DUMMYFUNCTION("""COMPUTED_VALUE"""),"Cole_62")</f>
        <v>Cole_62</v>
      </c>
      <c r="D5" s="6" t="str">
        <f ca="1">IFERROR(__xludf.DUMMYFUNCTION("""COMPUTED_VALUE""")," Guinevere_69")</f>
        <v xml:space="preserve"> Guinevere_69</v>
      </c>
    </row>
    <row r="6" spans="1:4" ht="15.75" customHeight="1" x14ac:dyDescent="0.15">
      <c r="A6" s="5" t="s">
        <v>5</v>
      </c>
      <c r="B6" s="6" t="str">
        <f ca="1">IFERROR(__xludf.DUMMYFUNCTION("""COMPUTED_VALUE"""),"Glimmer called at 42288
Not called by GeneMark")</f>
        <v>Glimmer called at 42288
Not called by GeneMark</v>
      </c>
      <c r="C6" s="6" t="str">
        <f ca="1">IFERROR(__xludf.DUMMYFUNCTION("""COMPUTED_VALUE"""),"Not called by Genemark")</f>
        <v>Not called by Genemark</v>
      </c>
      <c r="D6" s="6" t="str">
        <f ca="1">IFERROR(__xludf.DUMMYFUNCTION("""COMPUTED_VALUE"""),"Original Glimmer call @bp 42288 has strength 2.92 ** not called by GeneMark")</f>
        <v>Original Glimmer call @bp 42288 has strength 2.92 ** not called by GeneMark</v>
      </c>
    </row>
    <row r="7" spans="1:4" ht="15.75" customHeight="1" x14ac:dyDescent="0.15">
      <c r="A7" s="5" t="s">
        <v>6</v>
      </c>
      <c r="B7" s="6" t="str">
        <f ca="1">IFERROR(__xludf.DUMMYFUNCTION("""COMPUTED_VALUE"""),"THe potential is not the best")</f>
        <v>THe potential is not the best</v>
      </c>
      <c r="C7" s="6" t="str">
        <f ca="1">IFERROR(__xludf.DUMMYFUNCTION("""COMPUTED_VALUE"""),"Has good coding potential, not including start")</f>
        <v>Has good coding potential, not including start</v>
      </c>
      <c r="D7" s="6" t="str">
        <f ca="1">IFERROR(__xludf.DUMMYFUNCTION("""COMPUTED_VALUE"""),"Ok coding potential ")</f>
        <v xml:space="preserve">Ok coding potential </v>
      </c>
    </row>
    <row r="8" spans="1:4" ht="15.75" customHeight="1" x14ac:dyDescent="0.15">
      <c r="A8" s="5" t="s">
        <v>7</v>
      </c>
      <c r="B8" s="6" t="str">
        <f ca="1">IFERROR(__xludf.DUMMYFUNCTION("""COMPUTED_VALUE"""),"This is the longest ORF")</f>
        <v>This is the longest ORF</v>
      </c>
      <c r="C8" s="6" t="str">
        <f ca="1">IFERROR(__xludf.DUMMYFUNCTION("""COMPUTED_VALUE"""),"Yes")</f>
        <v>Yes</v>
      </c>
      <c r="D8" s="6" t="str">
        <f ca="1">IFERROR(__xludf.DUMMYFUNCTION("""COMPUTED_VALUE"""),"It is the longest possible ORFs ")</f>
        <v xml:space="preserve">It is the longest possible ORFs </v>
      </c>
    </row>
    <row r="9" spans="1:4" ht="15.75" customHeight="1" x14ac:dyDescent="0.15">
      <c r="A9" s="5" t="s">
        <v>8</v>
      </c>
      <c r="B9" s="6" t="str">
        <f ca="1">IFERROR(__xludf.DUMMYFUNCTION("""COMPUTED_VALUE"""),"Overlap of 3 nucleotides")</f>
        <v>Overlap of 3 nucleotides</v>
      </c>
      <c r="C9" s="6" t="str">
        <f ca="1">IFERROR(__xludf.DUMMYFUNCTION("""COMPUTED_VALUE"""),"4 overlap")</f>
        <v>4 overlap</v>
      </c>
      <c r="D9" s="6" t="str">
        <f ca="1">IFERROR(__xludf.DUMMYFUNCTION("""COMPUTED_VALUE"""),"26 Gap")</f>
        <v>26 Gap</v>
      </c>
    </row>
    <row r="10" spans="1:4" ht="15.75" customHeight="1" x14ac:dyDescent="0.15">
      <c r="A10" s="5" t="s">
        <v>9</v>
      </c>
      <c r="B10" s="6" t="str">
        <f ca="1">IFERROR(__xludf.DUMMYFUNCTION("""COMPUTED_VALUE"""),"Z-score: 2.413, F-score: -3.737")</f>
        <v>Z-score: 2.413, F-score: -3.737</v>
      </c>
      <c r="C10" s="6">
        <f ca="1">IFERROR(__xludf.DUMMYFUNCTION("""COMPUTED_VALUE"""),2.398)</f>
        <v>2.3980000000000001</v>
      </c>
      <c r="D10" s="6" t="str">
        <f ca="1">IFERROR(__xludf.DUMMYFUNCTION("""COMPUTED_VALUE"""),"Z score= 2.4. It is the best one ")</f>
        <v xml:space="preserve">Z score= 2.4. It is the best one </v>
      </c>
    </row>
    <row r="11" spans="1:4" ht="15.75" customHeight="1" x14ac:dyDescent="0.15">
      <c r="A11" s="5" t="s">
        <v>10</v>
      </c>
      <c r="B11" s="6" t="str">
        <f ca="1">IFERROR(__xludf.DUMMYFUNCTION("""COMPUTED_VALUE"""),"Cole_63, 54% identity, 2e-30
q: 3-103 ,t: 2-122 ")</f>
        <v xml:space="preserve">Cole_63, 54% identity, 2e-30
q: 3-103 ,t: 2-122 </v>
      </c>
      <c r="C11" s="6" t="str">
        <f ca="1">IFERROR(__xludf.DUMMYFUNCTION("""COMPUTED_VALUE"""),"COLE_63, 54.918% identity, 1.47589e-30")</f>
        <v>COLE_63, 54.918% identity, 1.47589e-30</v>
      </c>
      <c r="D11" s="6" t="str">
        <f ca="1">IFERROR(__xludf.DUMMYFUNCTION("""COMPUTED_VALUE"""),"hypothetical protein QEO76_gp37 [Arthrobacter phage Cole]. 2e-30	%identity:54.03%. q3:s2")</f>
        <v>hypothetical protein QEO76_gp37 [Arthrobacter phage Cole]. 2e-30	%identity:54.03%. q3:s2</v>
      </c>
    </row>
    <row r="12" spans="1:4" ht="15.75" customHeight="1" x14ac:dyDescent="0.15">
      <c r="A12" s="5" t="s">
        <v>11</v>
      </c>
      <c r="B12" s="6" t="str">
        <f ca="1">IFERROR(__xludf.DUMMYFUNCTION("""COMPUTED_VALUE"""),"Found in 3 of 3 ( 100.0% ) of genes in pham
Called 66.7% of time when present
")</f>
        <v xml:space="preserve">Found in 3 of 3 ( 100.0% ) of genes in pham
Called 66.7% of time when present
</v>
      </c>
      <c r="C12" s="6" t="str">
        <f ca="1">IFERROR(__xludf.DUMMYFUNCTION("""COMPUTED_VALUE"""),"conserved in all members, called 66.7% time")</f>
        <v>conserved in all members, called 66.7% time</v>
      </c>
      <c r="D12" s="6" t="str">
        <f ca="1">IFERROR(__xludf.DUMMYFUNCTION("""COMPUTED_VALUE"""),"Found in all pham members and called 66% of the time ")</f>
        <v xml:space="preserve">Found in all pham members and called 66% of the time </v>
      </c>
    </row>
    <row r="13" spans="1:4" ht="15.75" customHeight="1" x14ac:dyDescent="0.15">
      <c r="A13" s="5" t="s">
        <v>12</v>
      </c>
      <c r="B13" s="6" t="str">
        <f ca="1">IFERROR(__xludf.DUMMYFUNCTION("""COMPUTED_VALUE"""),"No change")</f>
        <v>No change</v>
      </c>
      <c r="C13" s="6" t="str">
        <f ca="1">IFERROR(__xludf.DUMMYFUNCTION("""COMPUTED_VALUE"""),"No")</f>
        <v>No</v>
      </c>
      <c r="D13" s="6" t="str">
        <f ca="1">IFERROR(__xludf.DUMMYFUNCTION("""COMPUTED_VALUE"""),"No")</f>
        <v>No</v>
      </c>
    </row>
    <row r="14" spans="1:4" ht="15.75" customHeight="1" x14ac:dyDescent="0.15">
      <c r="A14" s="5" t="s">
        <v>13</v>
      </c>
      <c r="B14" s="6" t="str">
        <f ca="1">IFERROR(__xludf.DUMMYFUNCTION("""COMPUTED_VALUE"""),"Guinevere_Draft_69, 3e-55 
Cole_63, 1e-27 ")</f>
        <v xml:space="preserve">Guinevere_Draft_69, 3e-55 
Cole_63, 1e-27 </v>
      </c>
      <c r="C14" s="6" t="str">
        <f ca="1">IFERROR(__xludf.DUMMYFUNCTION("""COMPUTED_VALUE"""),"Guinevere_Draft, 69, 3e-55")</f>
        <v>Guinevere_Draft, 69, 3e-55</v>
      </c>
      <c r="D14" s="6" t="str">
        <f ca="1">IFERROR(__xludf.DUMMYFUNCTION("""COMPUTED_VALUE"""),"Guinevere_Draft_69, function unknown, e= 3e-55")</f>
        <v>Guinevere_Draft_69, function unknown, e= 3e-55</v>
      </c>
    </row>
    <row r="15" spans="1:4" ht="15.75" customHeight="1" x14ac:dyDescent="0.15">
      <c r="A15" s="5" t="s">
        <v>14</v>
      </c>
      <c r="B15" s="6" t="str">
        <f ca="1">IFERROR(__xludf.DUMMYFUNCTION("""COMPUTED_VALUE""")," function unknown ")</f>
        <v xml:space="preserve"> function unknown </v>
      </c>
      <c r="C15" s="6" t="str">
        <f ca="1">IFERROR(__xludf.DUMMYFUNCTION("""COMPUTED_VALUE"""),"function unknown")</f>
        <v>function unknown</v>
      </c>
      <c r="D15" s="6" t="str">
        <f ca="1">IFERROR(__xludf.DUMMYFUNCTION("""COMPUTED_VALUE"""),"Guinevere_Draft_69, function unknown")</f>
        <v>Guinevere_Draft_69, function unknown</v>
      </c>
    </row>
    <row r="16" spans="1:4" ht="15.75" customHeight="1" x14ac:dyDescent="0.15">
      <c r="A16" s="5" t="s">
        <v>15</v>
      </c>
      <c r="B16" s="6" t="str">
        <f ca="1">IFERROR(__xludf.DUMMYFUNCTION("""COMPUTED_VALUE"""),"does not match well")</f>
        <v>does not match well</v>
      </c>
      <c r="C16" s="6" t="str">
        <f ca="1">IFERROR(__xludf.DUMMYFUNCTION("""COMPUTED_VALUE"""),"Not found in Nandita, found in pham members")</f>
        <v>Not found in Nandita, found in pham members</v>
      </c>
      <c r="D16" s="6" t="str">
        <f ca="1">IFERROR(__xludf.DUMMYFUNCTION("""COMPUTED_VALUE"""),"It is not in the same genetic enviorment as nandita ")</f>
        <v xml:space="preserve">It is not in the same genetic enviorment as nandita </v>
      </c>
    </row>
    <row r="17" spans="1:4" ht="15.75" customHeight="1" x14ac:dyDescent="0.15">
      <c r="A17" s="5" t="s">
        <v>16</v>
      </c>
      <c r="B17" s="6" t="str">
        <f ca="1">IFERROR(__xludf.DUMMYFUNCTION("""COMPUTED_VALUE"""),"8T9L_C Nucleoporin POM34; nuclear pore complex, nucleocytoplasmic transport, nucleoporin, membrane protein, translocase, TRANSPORT PROTEIN; 7.0A {Saccharomyces cerevisiae}
Probability: 42.51%
Query: 27%
Target: 9%
There is not functional domain to match t"&amp;"he target alignment")</f>
        <v>8T9L_C Nucleoporin POM34; nuclear pore complex, nucleocytoplasmic transport, nucleoporin, membrane protein, translocase, TRANSPORT PROTEIN; 7.0A {Saccharomyces cerevisiae}
Probability: 42.51%
Query: 27%
Target: 9%
There is not functional domain to match the target alignment</v>
      </c>
      <c r="C17" s="6" t="str">
        <f ca="1">IFERROR(__xludf.DUMMYFUNCTION("""COMPUTED_VALUE"""),"PF08058.16: NPCC ; Nuclear pore complex component, 69.4% probability, 80.82% T, 72.54% Q, Functional domain not found in target part")</f>
        <v>PF08058.16: NPCC ; Nuclear pore complex component, 69.4% probability, 80.82% T, 72.54% Q, Functional domain not found in target part</v>
      </c>
      <c r="D17" s="6" t="str">
        <f ca="1">IFERROR(__xludf.DUMMYFUNCTION("""COMPUTED_VALUE"""),"not helpful")</f>
        <v>not helpful</v>
      </c>
    </row>
    <row r="18" spans="1:4" ht="15.75" customHeight="1" x14ac:dyDescent="0.15">
      <c r="A18" s="5" t="s">
        <v>17</v>
      </c>
      <c r="B18" s="6" t="str">
        <f ca="1">IFERROR(__xludf.DUMMYFUNCTION("""COMPUTED_VALUE"""),"none")</f>
        <v>none</v>
      </c>
      <c r="C18" s="6" t="str">
        <f ca="1">IFERROR(__xludf.DUMMYFUNCTION("""COMPUTED_VALUE"""),"None")</f>
        <v>None</v>
      </c>
      <c r="D18" s="6" t="str">
        <f ca="1">IFERROR(__xludf.DUMMYFUNCTION("""COMPUTED_VALUE"""),"None")</f>
        <v>None</v>
      </c>
    </row>
    <row r="19" spans="1:4" ht="15.75" customHeight="1" x14ac:dyDescent="0.15">
      <c r="A19" s="5" t="s">
        <v>18</v>
      </c>
      <c r="B19" s="6" t="str">
        <f ca="1">IFERROR(__xludf.DUMMYFUNCTION("""COMPUTED_VALUE"""),"none")</f>
        <v>none</v>
      </c>
      <c r="C19" s="6" t="str">
        <f ca="1">IFERROR(__xludf.DUMMYFUNCTION("""COMPUTED_VALUE"""),"None")</f>
        <v>None</v>
      </c>
      <c r="D19" s="6" t="str">
        <f ca="1">IFERROR(__xludf.DUMMYFUNCTION("""COMPUTED_VALUE"""),"None")</f>
        <v>None</v>
      </c>
    </row>
    <row r="20" spans="1:4" ht="15.75" customHeight="1" x14ac:dyDescent="0.15">
      <c r="A20" s="5" t="s">
        <v>19</v>
      </c>
      <c r="B20" s="6" t="str">
        <f ca="1">IFERROR(__xludf.DUMMYFUNCTION("""COMPUTED_VALUE"""),"There is no evident to find a function for this gene")</f>
        <v>There is no evident to find a function for this gene</v>
      </c>
      <c r="C20" s="6" t="str">
        <f ca="1">IFERROR(__xludf.DUMMYFUNCTION("""COMPUTED_VALUE"""),"Hypothetical Protein")</f>
        <v>Hypothetical Protein</v>
      </c>
      <c r="D20" s="6" t="str">
        <f ca="1">IFERROR(__xludf.DUMMYFUNCTION("""COMPUTED_VALUE"""),"Hypothetical Protein, This is due to the NCBI blast and Phages db blast.")</f>
        <v>Hypothetical Protein, This is due to the NCBI blast and Phages db blast.</v>
      </c>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outlinePr summaryBelow="0" summaryRight="0"/>
  </sheetPr>
  <dimension ref="A1:D997"/>
  <sheetViews>
    <sheetView workbookViewId="0"/>
  </sheetViews>
  <sheetFormatPr baseColWidth="10" defaultColWidth="12.6640625" defaultRowHeight="15.75" customHeight="1" x14ac:dyDescent="0.15"/>
  <cols>
    <col min="1" max="1" width="71.5" customWidth="1"/>
    <col min="2" max="4" width="37.6640625" customWidth="1"/>
  </cols>
  <sheetData>
    <row r="1" spans="1:4" ht="15.75" customHeight="1" x14ac:dyDescent="0.15">
      <c r="A1" s="1"/>
      <c r="B1" s="11" t="str">
        <f ca="1">IFERROR(__xludf.DUMMYFUNCTION("IMPORTRANGE(""https://docs.google.com/spreadsheets/d/1mDoveT5ogJcal0bN308rf9jioMYsAcKe21Otdt4nuTk"", ""S70!B1:B22"")"),"Put Your Name Here")</f>
        <v>Put Your Name Here</v>
      </c>
      <c r="C1" s="11" t="str">
        <f ca="1">IFERROR(__xludf.DUMMYFUNCTION("IMPORTRANGE(""https://docs.google.com/spreadsheets/d/19cQ7zWvMqLBhgqC8nl5nOal4YuMd-mbE3bz8Irjnl7E"", ""S70!B1:B22"")"),"Jake Stafford")</f>
        <v>Jake Stafford</v>
      </c>
      <c r="D1" s="11" t="str">
        <f ca="1">IFERROR(__xludf.DUMMYFUNCTION("IMPORTRANGE(""https://docs.google.com/spreadsheets/d/1WNEoccD374LriG_Vfas93mZuqp-YxPt_JlqNi2GnBVU"", ""S70!B1:B22"")"),"Tyler Thibodeaux ")</f>
        <v xml:space="preserve">Tyler Thibodeaux </v>
      </c>
    </row>
    <row r="2" spans="1:4" ht="15.75" customHeight="1" x14ac:dyDescent="0.15">
      <c r="A2" s="3" t="s">
        <v>1</v>
      </c>
      <c r="B2" s="4" t="str">
        <f ca="1">IFERROR(__xludf.DUMMYFUNCTION("""COMPUTED_VALUE"""),"42712 - 43011 FOW")</f>
        <v>42712 - 43011 FOW</v>
      </c>
      <c r="C2" s="4" t="str">
        <f ca="1">IFERROR(__xludf.DUMMYFUNCTION("""COMPUTED_VALUE"""),"Start: 42712 Stop: 43011 FOR")</f>
        <v>Start: 42712 Stop: 43011 FOR</v>
      </c>
      <c r="D2" s="4" t="str">
        <f ca="1">IFERROR(__xludf.DUMMYFUNCTION("""COMPUTED_VALUE"""),"42712 to 43011 (Forward)")</f>
        <v>42712 to 43011 (Forward)</v>
      </c>
    </row>
    <row r="3" spans="1:4" ht="15.75" customHeight="1" x14ac:dyDescent="0.15">
      <c r="A3" s="5" t="s">
        <v>2</v>
      </c>
      <c r="B3" s="6" t="str">
        <f ca="1">IFERROR(__xludf.DUMMYFUNCTION("""COMPUTED_VALUE"""),"Phamerator_70
DNA Master_68")</f>
        <v>Phamerator_70
DNA Master_68</v>
      </c>
      <c r="C3" s="6" t="str">
        <f ca="1">IFERROR(__xludf.DUMMYFUNCTION("""COMPUTED_VALUE"""),"70 in PHAM, 68 in DNAM")</f>
        <v>70 in PHAM, 68 in DNAM</v>
      </c>
      <c r="D3" s="6" t="str">
        <f ca="1">IFERROR(__xludf.DUMMYFUNCTION("""COMPUTED_VALUE"""),"70 in Pham, 68 in DNAm ")</f>
        <v xml:space="preserve">70 in Pham, 68 in DNAm </v>
      </c>
    </row>
    <row r="4" spans="1:4" ht="15.75" customHeight="1" x14ac:dyDescent="0.15">
      <c r="A4" s="5" t="s">
        <v>3</v>
      </c>
      <c r="B4" s="6" t="str">
        <f ca="1">IFERROR(__xludf.DUMMYFUNCTION("""COMPUTED_VALUE"""),"224459 4/17/25")</f>
        <v>224459 4/17/25</v>
      </c>
      <c r="C4" s="6" t="str">
        <f ca="1">IFERROR(__xludf.DUMMYFUNCTION("""COMPUTED_VALUE"""),"224459 4/15/25")</f>
        <v>224459 4/15/25</v>
      </c>
      <c r="D4" s="6" t="str">
        <f ca="1">IFERROR(__xludf.DUMMYFUNCTION("""COMPUTED_VALUE"""),"pham 224459, 4-17-25")</f>
        <v>pham 224459, 4-17-25</v>
      </c>
    </row>
    <row r="5" spans="1:4" ht="15.75" customHeight="1" x14ac:dyDescent="0.15">
      <c r="A5" s="5" t="s">
        <v>4</v>
      </c>
      <c r="B5" s="6" t="str">
        <f ca="1">IFERROR(__xludf.DUMMYFUNCTION("""COMPUTED_VALUE"""),"Nandita_68 ")</f>
        <v xml:space="preserve">Nandita_68 </v>
      </c>
      <c r="C5" s="6" t="str">
        <f ca="1">IFERROR(__xludf.DUMMYFUNCTION("""COMPUTED_VALUE"""),"Nandita_68, Popper_70")</f>
        <v>Nandita_68, Popper_70</v>
      </c>
      <c r="D5" s="6" t="str">
        <f ca="1">IFERROR(__xludf.DUMMYFUNCTION("""COMPUTED_VALUE"""),"Nandita_68")</f>
        <v>Nandita_68</v>
      </c>
    </row>
    <row r="6" spans="1:4" ht="15.75" customHeight="1" x14ac:dyDescent="0.15">
      <c r="A6" s="5" t="s">
        <v>5</v>
      </c>
      <c r="B6" s="6" t="str">
        <f ca="1">IFERROR(__xludf.DUMMYFUNCTION("""COMPUTED_VALUE"""),"only glimmer calls @ bp 42712")</f>
        <v>only glimmer calls @ bp 42712</v>
      </c>
      <c r="C6" s="6" t="str">
        <f ca="1">IFERROR(__xludf.DUMMYFUNCTION("""COMPUTED_VALUE"""),"Glimmer called 42712, genemark didn't call")</f>
        <v>Glimmer called 42712, genemark didn't call</v>
      </c>
      <c r="D6" s="6" t="str">
        <f ca="1">IFERROR(__xludf.DUMMYFUNCTION("""COMPUTED_VALUE"""),"Original Glimmer call @bp 42712 has strength 4.04 ** not called by GeneMark")</f>
        <v>Original Glimmer call @bp 42712 has strength 4.04 ** not called by GeneMark</v>
      </c>
    </row>
    <row r="7" spans="1:4" ht="15.75" customHeight="1" x14ac:dyDescent="0.15">
      <c r="A7" s="5" t="s">
        <v>6</v>
      </c>
      <c r="B7" s="6" t="str">
        <f ca="1">IFERROR(__xludf.DUMMYFUNCTION("""COMPUTED_VALUE"""),"all coding potential included, mediocer coding potential ")</f>
        <v xml:space="preserve">all coding potential included, mediocer coding potential </v>
      </c>
      <c r="C7" s="6" t="str">
        <f ca="1">IFERROR(__xludf.DUMMYFUNCTION("""COMPUTED_VALUE"""),"coding potential, all is included")</f>
        <v>coding potential, all is included</v>
      </c>
      <c r="D7" s="6" t="str">
        <f ca="1">IFERROR(__xludf.DUMMYFUNCTION("""COMPUTED_VALUE"""),"Some coding potential, but barely ")</f>
        <v xml:space="preserve">Some coding potential, but barely </v>
      </c>
    </row>
    <row r="8" spans="1:4" ht="15.75" customHeight="1" x14ac:dyDescent="0.15">
      <c r="A8" s="5" t="s">
        <v>7</v>
      </c>
      <c r="B8" s="6" t="str">
        <f ca="1">IFERROR(__xludf.DUMMYFUNCTION("""COMPUTED_VALUE"""),"no one previous start")</f>
        <v>no one previous start</v>
      </c>
      <c r="C8" s="6" t="str">
        <f ca="1">IFERROR(__xludf.DUMMYFUNCTION("""COMPUTED_VALUE"""),"No, has a start before the one being used")</f>
        <v>No, has a start before the one being used</v>
      </c>
      <c r="D8" s="6" t="str">
        <f ca="1">IFERROR(__xludf.DUMMYFUNCTION("""COMPUTED_VALUE"""),"Not longest possible ")</f>
        <v xml:space="preserve">Not longest possible </v>
      </c>
    </row>
    <row r="9" spans="1:4" ht="15.75" customHeight="1" x14ac:dyDescent="0.15">
      <c r="A9" s="5" t="s">
        <v>8</v>
      </c>
      <c r="B9" s="6" t="str">
        <f ca="1">IFERROR(__xludf.DUMMYFUNCTION("""COMPUTED_VALUE"""),"113 nt overlap ")</f>
        <v xml:space="preserve">113 nt overlap </v>
      </c>
      <c r="C9" s="6" t="str">
        <f ca="1">IFERROR(__xludf.DUMMYFUNCTION("""COMPUTED_VALUE"""),"gap of 113 nucleotides")</f>
        <v>gap of 113 nucleotides</v>
      </c>
      <c r="D9" s="6" t="str">
        <f ca="1">IFERROR(__xludf.DUMMYFUNCTION("""COMPUTED_VALUE"""),"113 Gap")</f>
        <v>113 Gap</v>
      </c>
    </row>
    <row r="10" spans="1:4" ht="15.75" customHeight="1" x14ac:dyDescent="0.15">
      <c r="A10" s="5" t="s">
        <v>9</v>
      </c>
      <c r="B10" s="6" t="str">
        <f ca="1">IFERROR(__xludf.DUMMYFUNCTION("""COMPUTED_VALUE"""),"current start has best Z score (2.464) previous start has an okay Z score (1.902)")</f>
        <v>current start has best Z score (2.464) previous start has an okay Z score (1.902)</v>
      </c>
      <c r="C10" s="6" t="str">
        <f ca="1">IFERROR(__xludf.DUMMYFUNCTION("""COMPUTED_VALUE"""),"z-score: 2.479, f-score: -3.739, best score. ")</f>
        <v xml:space="preserve">z-score: 2.479, f-score: -3.739, best score. </v>
      </c>
      <c r="D10" s="6" t="str">
        <f ca="1">IFERROR(__xludf.DUMMYFUNCTION("""COMPUTED_VALUE"""),"Zscore = 2.479. It is the best score")</f>
        <v>Zscore = 2.479. It is the best score</v>
      </c>
    </row>
    <row r="11" spans="1:4" ht="15.75" customHeight="1" x14ac:dyDescent="0.15">
      <c r="A11" s="5" t="s">
        <v>10</v>
      </c>
      <c r="B11" s="6" t="str">
        <f ca="1">IFERROR(__xludf.DUMMYFUNCTION("""COMPUTED_VALUE"""),"Arthrobacter phage Cole 95.9184% identity, 8.7989e-63")</f>
        <v>Arthrobacter phage Cole 95.9184% identity, 8.7989e-63</v>
      </c>
      <c r="C11" s="6" t="str">
        <f ca="1">IFERROR(__xludf.DUMMYFUNCTION("""COMPUTED_VALUE"""),"Cole_64, 96.91% Identity, eval: 9e-63. Zaheer_69, 96.91% Identity, eval: 2e-62")</f>
        <v>Cole_64, 96.91% Identity, eval: 9e-63. Zaheer_69, 96.91% Identity, eval: 2e-62</v>
      </c>
      <c r="D11" s="6" t="str">
        <f ca="1">IFERROR(__xludf.DUMMYFUNCTION("""COMPUTED_VALUE"""),"HNH endonuclease [Arthrobacter phage Nandita]. 2e-61. %identity: 	91.92%. q1:s1")</f>
        <v>HNH endonuclease [Arthrobacter phage Nandita]. 2e-61. %identity: 	91.92%. q1:s1</v>
      </c>
    </row>
    <row r="12" spans="1:4" ht="15.75" customHeight="1" x14ac:dyDescent="0.15">
      <c r="A12" s="5" t="s">
        <v>11</v>
      </c>
      <c r="B12" s="6" t="str">
        <f ca="1">IFERROR(__xludf.DUMMYFUNCTION("""COMPUTED_VALUE"""),"no, only called one other time. ")</f>
        <v xml:space="preserve">no, only called one other time. </v>
      </c>
      <c r="C12" s="6" t="str">
        <f ca="1">IFERROR(__xludf.DUMMYFUNCTION("""COMPUTED_VALUE"""),"found in 3/103 genes in pham, called 100% of the time when present")</f>
        <v>found in 3/103 genes in pham, called 100% of the time when present</v>
      </c>
      <c r="D12" s="6" t="str">
        <f ca="1">IFERROR(__xludf.DUMMYFUNCTION("""COMPUTED_VALUE"""),"Conserved in 3% of members and is called 100% of the time")</f>
        <v>Conserved in 3% of members and is called 100% of the time</v>
      </c>
    </row>
    <row r="13" spans="1:4" ht="15.75" customHeight="1" x14ac:dyDescent="0.15">
      <c r="A13" s="5" t="s">
        <v>12</v>
      </c>
      <c r="B13" s="6" t="str">
        <f ca="1">IFERROR(__xludf.DUMMYFUNCTION("""COMPUTED_VALUE"""),"no, theres no coding potential for previous start. ")</f>
        <v xml:space="preserve">no, theres no coding potential for previous start. </v>
      </c>
      <c r="C13" s="6" t="str">
        <f ca="1">IFERROR(__xludf.DUMMYFUNCTION("""COMPUTED_VALUE"""),"No, best Rbs score, start is called 100% of the time when present")</f>
        <v>No, best Rbs score, start is called 100% of the time when present</v>
      </c>
      <c r="D13" s="6" t="str">
        <f ca="1">IFERROR(__xludf.DUMMYFUNCTION("""COMPUTED_VALUE"""),"No")</f>
        <v>No</v>
      </c>
    </row>
    <row r="14" spans="1:4" ht="15.75" customHeight="1" x14ac:dyDescent="0.15">
      <c r="A14" s="5" t="s">
        <v>13</v>
      </c>
      <c r="B14" s="6" t="str">
        <f ca="1">IFERROR(__xludf.DUMMYFUNCTION("""COMPUTED_VALUE"""),"Kihatsu_Draft_68; 3e-55
Nandita_68;  5e-52 ")</f>
        <v xml:space="preserve">Kihatsu_Draft_68; 3e-55
Nandita_68;  5e-52 </v>
      </c>
      <c r="C14" s="6" t="str">
        <f ca="1">IFERROR(__xludf.DUMMYFUNCTION("""COMPUTED_VALUE"""),"GoodLuckBabe_69, eval: 3e-55. Kihatsu_68, eval: 3e-55")</f>
        <v>GoodLuckBabe_69, eval: 3e-55. Kihatsu_68, eval: 3e-55</v>
      </c>
      <c r="D14" s="6" t="str">
        <f ca="1">IFERROR(__xludf.DUMMYFUNCTION("""COMPUTED_VALUE"""),"Nandita_68, HNH endonuclease. 5e-52")</f>
        <v>Nandita_68, HNH endonuclease. 5e-52</v>
      </c>
    </row>
    <row r="15" spans="1:4" ht="15.75" customHeight="1" x14ac:dyDescent="0.15">
      <c r="A15" s="5" t="s">
        <v>14</v>
      </c>
      <c r="B15" s="6" t="str">
        <f ca="1">IFERROR(__xludf.DUMMYFUNCTION("""COMPUTED_VALUE"""),"function unknown
HNH endonuclease")</f>
        <v>function unknown
HNH endonuclease</v>
      </c>
      <c r="C15" s="6" t="str">
        <f ca="1">IFERROR(__xludf.DUMMYFUNCTION("""COMPUTED_VALUE"""),"Both have unknown functions")</f>
        <v>Both have unknown functions</v>
      </c>
      <c r="D15" s="6" t="str">
        <f ca="1">IFERROR(__xludf.DUMMYFUNCTION("""COMPUTED_VALUE"""),"Nandita_68, HNH endonuclease")</f>
        <v>Nandita_68, HNH endonuclease</v>
      </c>
    </row>
    <row r="16" spans="1:4" ht="15.75" customHeight="1" x14ac:dyDescent="0.15">
      <c r="A16" s="5" t="s">
        <v>15</v>
      </c>
      <c r="B16" s="6" t="str">
        <f ca="1">IFERROR(__xludf.DUMMYFUNCTION("""COMPUTED_VALUE"""),"no")</f>
        <v>no</v>
      </c>
      <c r="C16" s="6" t="str">
        <f ca="1">IFERROR(__xludf.DUMMYFUNCTION("""COMPUTED_VALUE"""),"yes, only gene adjacent in GoodLuckBabe is 69.")</f>
        <v>yes, only gene adjacent in GoodLuckBabe is 69.</v>
      </c>
      <c r="D16" s="6" t="str">
        <f ca="1">IFERROR(__xludf.DUMMYFUNCTION("""COMPUTED_VALUE"""),"It is in the same genetic enviorment as nandita ")</f>
        <v xml:space="preserve">It is in the same genetic enviorment as nandita </v>
      </c>
    </row>
    <row r="17" spans="1:4" ht="15.75" customHeight="1" x14ac:dyDescent="0.15">
      <c r="A17" s="5" t="s">
        <v>16</v>
      </c>
      <c r="B17" s="6" t="str">
        <f ca="1">IFERROR(__xludf.DUMMYFUNCTION("""COMPUTED_VALUE"""),"CRISPR-associated endonuclease Cas9; Inhibitor, Complex, VIRAL PROTEIN; HET: NI; 2.097A {Staphylococcus aureus}
Probability: 98.47%
% alignment Q: 65.66%
% alignment T: 39.16%")</f>
        <v>CRISPR-associated endonuclease Cas9; Inhibitor, Complex, VIRAL PROTEIN; HET: NI; 2.097A {Staphylococcus aureus}
Probability: 98.47%
% alignment Q: 65.66%
% alignment T: 39.16%</v>
      </c>
      <c r="C17" s="6" t="str">
        <f ca="1">IFERROR(__xludf.DUMMYFUNCTION("""COMPUTED_VALUE"""),"CRISPR-associated endonuclease Cas9; Inhibitor, Complex, VIRAL PROTEIN; HET: NI; 2.097A {Staphylococcus aureus}, 98.57% Identity, allq: 68.69%, allt: 40.96%. Functional domain is part of the target part of the alignment")</f>
        <v>CRISPR-associated endonuclease Cas9; Inhibitor, Complex, VIRAL PROTEIN; HET: NI; 2.097A {Staphylococcus aureus}, 98.57% Identity, allq: 68.69%, allt: 40.96%. Functional domain is part of the target part of the alignment</v>
      </c>
      <c r="D17" s="6" t="str">
        <f ca="1">IFERROR(__xludf.DUMMYFUNCTION("""COMPUTED_VALUE"""),"HNH endonuclease domain protein. 98% prob. %Q= 21%, %T=50%. The functional domain is in the target allignment ")</f>
        <v xml:space="preserve">HNH endonuclease domain protein. 98% prob. %Q= 21%, %T=50%. The functional domain is in the target allignment </v>
      </c>
    </row>
    <row r="18" spans="1:4" ht="15.75" customHeight="1" x14ac:dyDescent="0.15">
      <c r="A18" s="5" t="s">
        <v>17</v>
      </c>
      <c r="B18" s="6" t="str">
        <f ca="1">IFERROR(__xludf.DUMMYFUNCTION("""COMPUTED_VALUE"""),"no")</f>
        <v>no</v>
      </c>
      <c r="C18" s="6" t="str">
        <f ca="1">IFERROR(__xludf.DUMMYFUNCTION("""COMPUTED_VALUE"""),"none")</f>
        <v>none</v>
      </c>
      <c r="D18" s="6" t="str">
        <f ca="1">IFERROR(__xludf.DUMMYFUNCTION("""COMPUTED_VALUE"""),"none")</f>
        <v>none</v>
      </c>
    </row>
    <row r="19" spans="1:4" ht="15.75" customHeight="1" x14ac:dyDescent="0.15">
      <c r="A19" s="5" t="s">
        <v>18</v>
      </c>
      <c r="B19" s="6" t="str">
        <f ca="1">IFERROR(__xludf.DUMMYFUNCTION("""COMPUTED_VALUE"""),"no")</f>
        <v>no</v>
      </c>
      <c r="C19" s="6" t="str">
        <f ca="1">IFERROR(__xludf.DUMMYFUNCTION("""COMPUTED_VALUE"""),"none")</f>
        <v>none</v>
      </c>
      <c r="D19" s="6" t="str">
        <f ca="1">IFERROR(__xludf.DUMMYFUNCTION("""COMPUTED_VALUE"""),"None")</f>
        <v>None</v>
      </c>
    </row>
    <row r="20" spans="1:4" ht="15.75" customHeight="1" x14ac:dyDescent="0.15">
      <c r="A20" s="5" t="s">
        <v>19</v>
      </c>
      <c r="B20" s="6" t="str">
        <f ca="1">IFERROR(__xludf.DUMMYFUNCTION("""COMPUTED_VALUE"""),"function unkown, doesn't have a H-N-H over a 30 aa span*")</f>
        <v>function unkown, doesn't have a H-N-H over a 30 aa span*</v>
      </c>
      <c r="C20" s="6" t="str">
        <f ca="1">IFERROR(__xludf.DUMMYFUNCTION("""COMPUTED_VALUE"""),"I think this gene is a HNH endonuclease protein due to the many homologous genes that share the function on phagesdb and because of the many hits on HHpred that have that function")</f>
        <v>I think this gene is a HNH endonuclease protein due to the many homologous genes that share the function on phagesdb and because of the many hits on HHpred that have that function</v>
      </c>
      <c r="D20" s="6" t="str">
        <f ca="1">IFERROR(__xludf.DUMMYFUNCTION("""COMPUTED_VALUE"""),"HNH endonuclease, This is due to the NCBI blast, Phagesdb blast, HHpred, and synteny with Nandita ")</f>
        <v xml:space="preserve">HNH endonuclease, This is due to the NCBI blast, Phagesdb blast, HHpred, and synteny with Nandita </v>
      </c>
    </row>
    <row r="21" spans="1:4" x14ac:dyDescent="0.2">
      <c r="A21" s="7"/>
      <c r="B21" s="8"/>
      <c r="C21" s="8"/>
      <c r="D21" s="8"/>
    </row>
    <row r="22" spans="1:4" ht="15.75" customHeight="1" x14ac:dyDescent="0.15">
      <c r="A22" s="9" t="s">
        <v>20</v>
      </c>
      <c r="B22" s="8"/>
      <c r="C22" s="8"/>
      <c r="D22" s="8"/>
    </row>
    <row r="23" spans="1:4" ht="15.75" customHeight="1" x14ac:dyDescent="0.15">
      <c r="A23" s="10"/>
    </row>
    <row r="24" spans="1:4" ht="15.75" customHeight="1" x14ac:dyDescent="0.15">
      <c r="A24" s="10"/>
    </row>
    <row r="25" spans="1:4" ht="15.75" customHeight="1" x14ac:dyDescent="0.15">
      <c r="A25" s="10"/>
    </row>
    <row r="26" spans="1:4" ht="15.75" customHeight="1" x14ac:dyDescent="0.15">
      <c r="A26" s="10"/>
    </row>
    <row r="27" spans="1:4" ht="15.75" customHeight="1" x14ac:dyDescent="0.15">
      <c r="A27" s="10"/>
    </row>
    <row r="28" spans="1:4" ht="15.75" customHeight="1" x14ac:dyDescent="0.15">
      <c r="A28" s="10"/>
    </row>
    <row r="29" spans="1:4" ht="15.75" customHeight="1" x14ac:dyDescent="0.15">
      <c r="A29" s="10"/>
    </row>
    <row r="30" spans="1:4" ht="15.75" customHeight="1" x14ac:dyDescent="0.15">
      <c r="A30" s="10"/>
    </row>
    <row r="31" spans="1:4" ht="15.75" customHeight="1" x14ac:dyDescent="0.15">
      <c r="A31" s="10"/>
    </row>
    <row r="32" spans="1:4" ht="15.75" customHeight="1" x14ac:dyDescent="0.15">
      <c r="A32" s="10"/>
    </row>
    <row r="33" spans="1:1" ht="15.75" customHeight="1" x14ac:dyDescent="0.15">
      <c r="A33" s="10"/>
    </row>
    <row r="34" spans="1:1" ht="15.75" customHeight="1" x14ac:dyDescent="0.15">
      <c r="A34" s="10"/>
    </row>
    <row r="35" spans="1:1" ht="15.75" customHeight="1" x14ac:dyDescent="0.15">
      <c r="A35" s="10"/>
    </row>
    <row r="36" spans="1:1" ht="15.75" customHeight="1" x14ac:dyDescent="0.15">
      <c r="A36" s="10"/>
    </row>
    <row r="37" spans="1:1" ht="15.75" customHeight="1" x14ac:dyDescent="0.15">
      <c r="A37" s="10"/>
    </row>
    <row r="38" spans="1:1" ht="15.75" customHeight="1" x14ac:dyDescent="0.15">
      <c r="A38" s="10"/>
    </row>
    <row r="39" spans="1:1" ht="13" x14ac:dyDescent="0.15">
      <c r="A39" s="10"/>
    </row>
    <row r="40" spans="1:1" ht="13" x14ac:dyDescent="0.15">
      <c r="A40" s="10"/>
    </row>
    <row r="41" spans="1:1" ht="13" x14ac:dyDescent="0.15">
      <c r="A41" s="10"/>
    </row>
    <row r="42" spans="1:1" ht="13" x14ac:dyDescent="0.15">
      <c r="A42" s="10"/>
    </row>
    <row r="43" spans="1:1" ht="13" x14ac:dyDescent="0.15">
      <c r="A43" s="10"/>
    </row>
    <row r="44" spans="1:1" ht="13" x14ac:dyDescent="0.15">
      <c r="A44" s="10"/>
    </row>
    <row r="45" spans="1:1" ht="13" x14ac:dyDescent="0.15">
      <c r="A45" s="10"/>
    </row>
    <row r="46" spans="1:1" ht="13" x14ac:dyDescent="0.15">
      <c r="A46" s="10"/>
    </row>
    <row r="47" spans="1:1" ht="13" x14ac:dyDescent="0.15">
      <c r="A47" s="10"/>
    </row>
    <row r="48" spans="1:1" ht="13" x14ac:dyDescent="0.15">
      <c r="A48" s="10"/>
    </row>
    <row r="49" spans="1:1" ht="13" x14ac:dyDescent="0.15">
      <c r="A49" s="10"/>
    </row>
    <row r="50" spans="1:1" ht="13" x14ac:dyDescent="0.15">
      <c r="A50" s="10"/>
    </row>
    <row r="51" spans="1:1" ht="13" x14ac:dyDescent="0.15">
      <c r="A51" s="10"/>
    </row>
    <row r="52" spans="1:1" ht="13" x14ac:dyDescent="0.15">
      <c r="A52" s="10"/>
    </row>
    <row r="53" spans="1:1" ht="13" x14ac:dyDescent="0.15">
      <c r="A53" s="10"/>
    </row>
    <row r="54" spans="1:1" ht="13" x14ac:dyDescent="0.15">
      <c r="A54" s="10"/>
    </row>
    <row r="55" spans="1:1" ht="13" x14ac:dyDescent="0.15">
      <c r="A55" s="10"/>
    </row>
    <row r="56" spans="1:1" ht="13" x14ac:dyDescent="0.15">
      <c r="A56" s="10"/>
    </row>
    <row r="57" spans="1:1" ht="13" x14ac:dyDescent="0.15">
      <c r="A57" s="10"/>
    </row>
    <row r="58" spans="1:1" ht="13" x14ac:dyDescent="0.15">
      <c r="A58" s="10"/>
    </row>
    <row r="59" spans="1:1" ht="13" x14ac:dyDescent="0.15">
      <c r="A59" s="10"/>
    </row>
    <row r="60" spans="1:1" ht="13" x14ac:dyDescent="0.15">
      <c r="A60" s="10"/>
    </row>
    <row r="61" spans="1:1" ht="13" x14ac:dyDescent="0.15">
      <c r="A61" s="10"/>
    </row>
    <row r="62" spans="1:1" ht="13" x14ac:dyDescent="0.15">
      <c r="A62" s="10"/>
    </row>
    <row r="63" spans="1:1" ht="13" x14ac:dyDescent="0.15">
      <c r="A63" s="10"/>
    </row>
    <row r="64" spans="1:1" ht="13" x14ac:dyDescent="0.15">
      <c r="A64" s="10"/>
    </row>
    <row r="65" spans="1:1" ht="13" x14ac:dyDescent="0.15">
      <c r="A65" s="10"/>
    </row>
    <row r="66" spans="1:1" ht="13" x14ac:dyDescent="0.15">
      <c r="A66" s="10"/>
    </row>
    <row r="67" spans="1:1" ht="13" x14ac:dyDescent="0.15">
      <c r="A67" s="10"/>
    </row>
    <row r="68" spans="1:1" ht="13" x14ac:dyDescent="0.15">
      <c r="A68" s="10"/>
    </row>
    <row r="69" spans="1:1" ht="13" x14ac:dyDescent="0.15">
      <c r="A69" s="10"/>
    </row>
    <row r="70" spans="1:1" ht="13" x14ac:dyDescent="0.15">
      <c r="A70" s="10"/>
    </row>
    <row r="71" spans="1:1" ht="13" x14ac:dyDescent="0.15">
      <c r="A71" s="10"/>
    </row>
    <row r="72" spans="1:1" ht="13" x14ac:dyDescent="0.15">
      <c r="A72" s="10"/>
    </row>
    <row r="73" spans="1:1" ht="13" x14ac:dyDescent="0.15">
      <c r="A73" s="10"/>
    </row>
    <row r="74" spans="1:1" ht="13" x14ac:dyDescent="0.15">
      <c r="A74" s="10"/>
    </row>
    <row r="75" spans="1:1" ht="13" x14ac:dyDescent="0.15">
      <c r="A75" s="10"/>
    </row>
    <row r="76" spans="1:1" ht="13" x14ac:dyDescent="0.15">
      <c r="A76" s="10"/>
    </row>
    <row r="77" spans="1:1" ht="13" x14ac:dyDescent="0.15">
      <c r="A77" s="10"/>
    </row>
    <row r="78" spans="1:1" ht="13" x14ac:dyDescent="0.15">
      <c r="A78" s="10"/>
    </row>
    <row r="79" spans="1:1" ht="13" x14ac:dyDescent="0.15">
      <c r="A79" s="10"/>
    </row>
    <row r="80" spans="1:1" ht="13" x14ac:dyDescent="0.15">
      <c r="A80" s="10"/>
    </row>
    <row r="81" spans="1:1" ht="13" x14ac:dyDescent="0.15">
      <c r="A81" s="10"/>
    </row>
    <row r="82" spans="1:1" ht="13" x14ac:dyDescent="0.15">
      <c r="A82" s="10"/>
    </row>
    <row r="83" spans="1:1" ht="13" x14ac:dyDescent="0.15">
      <c r="A83" s="10"/>
    </row>
    <row r="84" spans="1:1" ht="13" x14ac:dyDescent="0.15">
      <c r="A84" s="10"/>
    </row>
    <row r="85" spans="1:1" ht="13" x14ac:dyDescent="0.15">
      <c r="A85" s="10"/>
    </row>
    <row r="86" spans="1:1" ht="13" x14ac:dyDescent="0.15">
      <c r="A86" s="10"/>
    </row>
    <row r="87" spans="1:1" ht="13" x14ac:dyDescent="0.15">
      <c r="A87" s="10"/>
    </row>
    <row r="88" spans="1:1" ht="13" x14ac:dyDescent="0.15">
      <c r="A88" s="10"/>
    </row>
    <row r="89" spans="1:1" ht="13" x14ac:dyDescent="0.15">
      <c r="A89" s="10"/>
    </row>
    <row r="90" spans="1:1" ht="13" x14ac:dyDescent="0.15">
      <c r="A90" s="10"/>
    </row>
    <row r="91" spans="1:1" ht="13" x14ac:dyDescent="0.15">
      <c r="A91" s="10"/>
    </row>
    <row r="92" spans="1:1" ht="13" x14ac:dyDescent="0.15">
      <c r="A92" s="10"/>
    </row>
    <row r="93" spans="1:1" ht="13" x14ac:dyDescent="0.15">
      <c r="A93" s="10"/>
    </row>
    <row r="94" spans="1:1" ht="13" x14ac:dyDescent="0.15">
      <c r="A94" s="10"/>
    </row>
    <row r="95" spans="1:1" ht="13" x14ac:dyDescent="0.15">
      <c r="A95" s="10"/>
    </row>
    <row r="96" spans="1:1" ht="13" x14ac:dyDescent="0.15">
      <c r="A96" s="10"/>
    </row>
    <row r="97" spans="1:1" ht="13" x14ac:dyDescent="0.15">
      <c r="A97" s="10"/>
    </row>
    <row r="98" spans="1:1" ht="13" x14ac:dyDescent="0.15">
      <c r="A98" s="10"/>
    </row>
    <row r="99" spans="1:1" ht="13" x14ac:dyDescent="0.15">
      <c r="A99" s="10"/>
    </row>
    <row r="100" spans="1:1" ht="13" x14ac:dyDescent="0.15">
      <c r="A100" s="10"/>
    </row>
    <row r="101" spans="1:1" ht="13" x14ac:dyDescent="0.15">
      <c r="A101" s="10"/>
    </row>
    <row r="102" spans="1:1" ht="13" x14ac:dyDescent="0.15">
      <c r="A102" s="10"/>
    </row>
    <row r="103" spans="1:1" ht="13" x14ac:dyDescent="0.15">
      <c r="A103" s="10"/>
    </row>
    <row r="104" spans="1:1" ht="13" x14ac:dyDescent="0.15">
      <c r="A104" s="10"/>
    </row>
    <row r="105" spans="1:1" ht="13" x14ac:dyDescent="0.15">
      <c r="A105" s="10"/>
    </row>
    <row r="106" spans="1:1" ht="13" x14ac:dyDescent="0.15">
      <c r="A106" s="10"/>
    </row>
    <row r="107" spans="1:1" ht="13" x14ac:dyDescent="0.15">
      <c r="A107" s="10"/>
    </row>
    <row r="108" spans="1:1" ht="13" x14ac:dyDescent="0.15">
      <c r="A108" s="10"/>
    </row>
    <row r="109" spans="1:1" ht="13" x14ac:dyDescent="0.15">
      <c r="A109" s="10"/>
    </row>
    <row r="110" spans="1:1" ht="13" x14ac:dyDescent="0.15">
      <c r="A110" s="10"/>
    </row>
    <row r="111" spans="1:1" ht="13" x14ac:dyDescent="0.15">
      <c r="A111" s="10"/>
    </row>
    <row r="112" spans="1:1" ht="13" x14ac:dyDescent="0.15">
      <c r="A112" s="10"/>
    </row>
    <row r="113" spans="1:1" ht="13" x14ac:dyDescent="0.15">
      <c r="A113" s="10"/>
    </row>
    <row r="114" spans="1:1" ht="13" x14ac:dyDescent="0.15">
      <c r="A114" s="10"/>
    </row>
    <row r="115" spans="1:1" ht="13" x14ac:dyDescent="0.15">
      <c r="A115" s="10"/>
    </row>
    <row r="116" spans="1:1" ht="13" x14ac:dyDescent="0.15">
      <c r="A116" s="10"/>
    </row>
    <row r="117" spans="1:1" ht="13" x14ac:dyDescent="0.15">
      <c r="A117" s="10"/>
    </row>
    <row r="118" spans="1:1" ht="13" x14ac:dyDescent="0.15">
      <c r="A118" s="10"/>
    </row>
    <row r="119" spans="1:1" ht="13" x14ac:dyDescent="0.15">
      <c r="A119" s="10"/>
    </row>
    <row r="120" spans="1:1" ht="13" x14ac:dyDescent="0.15">
      <c r="A120" s="10"/>
    </row>
    <row r="121" spans="1:1" ht="13" x14ac:dyDescent="0.15">
      <c r="A121" s="10"/>
    </row>
    <row r="122" spans="1:1" ht="13" x14ac:dyDescent="0.15">
      <c r="A122" s="10"/>
    </row>
    <row r="123" spans="1:1" ht="13" x14ac:dyDescent="0.15">
      <c r="A123" s="10"/>
    </row>
    <row r="124" spans="1:1" ht="13" x14ac:dyDescent="0.15">
      <c r="A124" s="10"/>
    </row>
    <row r="125" spans="1:1" ht="13" x14ac:dyDescent="0.15">
      <c r="A125" s="10"/>
    </row>
    <row r="126" spans="1:1" ht="13" x14ac:dyDescent="0.15">
      <c r="A126" s="10"/>
    </row>
    <row r="127" spans="1:1" ht="13" x14ac:dyDescent="0.15">
      <c r="A127" s="10"/>
    </row>
    <row r="128" spans="1:1" ht="13" x14ac:dyDescent="0.15">
      <c r="A128" s="10"/>
    </row>
    <row r="129" spans="1:1" ht="13" x14ac:dyDescent="0.15">
      <c r="A129" s="10"/>
    </row>
    <row r="130" spans="1:1" ht="13" x14ac:dyDescent="0.15">
      <c r="A130" s="10"/>
    </row>
    <row r="131" spans="1:1" ht="13" x14ac:dyDescent="0.15">
      <c r="A131" s="10"/>
    </row>
    <row r="132" spans="1:1" ht="13" x14ac:dyDescent="0.15">
      <c r="A132" s="10"/>
    </row>
    <row r="133" spans="1:1" ht="13" x14ac:dyDescent="0.15">
      <c r="A133" s="10"/>
    </row>
    <row r="134" spans="1:1" ht="13" x14ac:dyDescent="0.15">
      <c r="A134" s="10"/>
    </row>
    <row r="135" spans="1:1" ht="13" x14ac:dyDescent="0.15">
      <c r="A135" s="10"/>
    </row>
    <row r="136" spans="1:1" ht="13" x14ac:dyDescent="0.15">
      <c r="A136" s="10"/>
    </row>
    <row r="137" spans="1:1" ht="13" x14ac:dyDescent="0.15">
      <c r="A137" s="10"/>
    </row>
    <row r="138" spans="1:1" ht="13" x14ac:dyDescent="0.15">
      <c r="A138" s="10"/>
    </row>
    <row r="139" spans="1:1" ht="13" x14ac:dyDescent="0.15">
      <c r="A139" s="10"/>
    </row>
    <row r="140" spans="1:1" ht="13" x14ac:dyDescent="0.15">
      <c r="A140" s="10"/>
    </row>
    <row r="141" spans="1:1" ht="13" x14ac:dyDescent="0.15">
      <c r="A141" s="10"/>
    </row>
    <row r="142" spans="1:1" ht="13" x14ac:dyDescent="0.15">
      <c r="A142" s="10"/>
    </row>
    <row r="143" spans="1:1" ht="13" x14ac:dyDescent="0.15">
      <c r="A143" s="10"/>
    </row>
    <row r="144" spans="1:1" ht="13" x14ac:dyDescent="0.15">
      <c r="A144" s="10"/>
    </row>
    <row r="145" spans="1:1" ht="13" x14ac:dyDescent="0.15">
      <c r="A145" s="10"/>
    </row>
    <row r="146" spans="1:1" ht="13" x14ac:dyDescent="0.15">
      <c r="A146" s="10"/>
    </row>
    <row r="147" spans="1:1" ht="13" x14ac:dyDescent="0.15">
      <c r="A147" s="10"/>
    </row>
    <row r="148" spans="1:1" ht="13" x14ac:dyDescent="0.15">
      <c r="A148" s="10"/>
    </row>
    <row r="149" spans="1:1" ht="13" x14ac:dyDescent="0.15">
      <c r="A149" s="10"/>
    </row>
    <row r="150" spans="1:1" ht="13" x14ac:dyDescent="0.15">
      <c r="A150" s="10"/>
    </row>
    <row r="151" spans="1:1" ht="13" x14ac:dyDescent="0.15">
      <c r="A151" s="10"/>
    </row>
    <row r="152" spans="1:1" ht="13" x14ac:dyDescent="0.15">
      <c r="A152" s="10"/>
    </row>
    <row r="153" spans="1:1" ht="13" x14ac:dyDescent="0.15">
      <c r="A153" s="10"/>
    </row>
    <row r="154" spans="1:1" ht="13" x14ac:dyDescent="0.15">
      <c r="A154" s="10"/>
    </row>
    <row r="155" spans="1:1" ht="13" x14ac:dyDescent="0.15">
      <c r="A155" s="10"/>
    </row>
    <row r="156" spans="1:1" ht="13" x14ac:dyDescent="0.15">
      <c r="A156" s="10"/>
    </row>
    <row r="157" spans="1:1" ht="13" x14ac:dyDescent="0.15">
      <c r="A157" s="10"/>
    </row>
    <row r="158" spans="1:1" ht="13" x14ac:dyDescent="0.15">
      <c r="A158" s="10"/>
    </row>
    <row r="159" spans="1:1" ht="13" x14ac:dyDescent="0.15">
      <c r="A159" s="10"/>
    </row>
    <row r="160" spans="1:1" ht="13" x14ac:dyDescent="0.15">
      <c r="A160" s="10"/>
    </row>
    <row r="161" spans="1:1" ht="13" x14ac:dyDescent="0.15">
      <c r="A161" s="10"/>
    </row>
    <row r="162" spans="1:1" ht="13" x14ac:dyDescent="0.15">
      <c r="A162" s="10"/>
    </row>
    <row r="163" spans="1:1" ht="13" x14ac:dyDescent="0.15">
      <c r="A163" s="10"/>
    </row>
    <row r="164" spans="1:1" ht="13" x14ac:dyDescent="0.15">
      <c r="A164" s="10"/>
    </row>
    <row r="165" spans="1:1" ht="13" x14ac:dyDescent="0.15">
      <c r="A165" s="10"/>
    </row>
    <row r="166" spans="1:1" ht="13" x14ac:dyDescent="0.15">
      <c r="A166" s="10"/>
    </row>
    <row r="167" spans="1:1" ht="13" x14ac:dyDescent="0.15">
      <c r="A167" s="10"/>
    </row>
    <row r="168" spans="1:1" ht="13" x14ac:dyDescent="0.15">
      <c r="A168" s="10"/>
    </row>
    <row r="169" spans="1:1" ht="13" x14ac:dyDescent="0.15">
      <c r="A169" s="10"/>
    </row>
    <row r="170" spans="1:1" ht="13" x14ac:dyDescent="0.15">
      <c r="A170" s="10"/>
    </row>
    <row r="171" spans="1:1" ht="13" x14ac:dyDescent="0.15">
      <c r="A171" s="10"/>
    </row>
    <row r="172" spans="1:1" ht="13" x14ac:dyDescent="0.15">
      <c r="A172" s="10"/>
    </row>
    <row r="173" spans="1:1" ht="13" x14ac:dyDescent="0.15">
      <c r="A173" s="10"/>
    </row>
    <row r="174" spans="1:1" ht="13" x14ac:dyDescent="0.15">
      <c r="A174" s="10"/>
    </row>
    <row r="175" spans="1:1" ht="13" x14ac:dyDescent="0.15">
      <c r="A175" s="10"/>
    </row>
    <row r="176" spans="1:1" ht="13" x14ac:dyDescent="0.15">
      <c r="A176" s="10"/>
    </row>
    <row r="177" spans="1:1" ht="13" x14ac:dyDescent="0.15">
      <c r="A177" s="10"/>
    </row>
    <row r="178" spans="1:1" ht="13" x14ac:dyDescent="0.15">
      <c r="A178" s="10"/>
    </row>
    <row r="179" spans="1:1" ht="13" x14ac:dyDescent="0.15">
      <c r="A179" s="10"/>
    </row>
    <row r="180" spans="1:1" ht="13" x14ac:dyDescent="0.15">
      <c r="A180" s="10"/>
    </row>
    <row r="181" spans="1:1" ht="13" x14ac:dyDescent="0.15">
      <c r="A181" s="10"/>
    </row>
    <row r="182" spans="1:1" ht="13" x14ac:dyDescent="0.15">
      <c r="A182" s="10"/>
    </row>
    <row r="183" spans="1:1" ht="13" x14ac:dyDescent="0.15">
      <c r="A183" s="10"/>
    </row>
    <row r="184" spans="1:1" ht="13" x14ac:dyDescent="0.15">
      <c r="A184" s="10"/>
    </row>
    <row r="185" spans="1:1" ht="13" x14ac:dyDescent="0.15">
      <c r="A185" s="10"/>
    </row>
    <row r="186" spans="1:1" ht="13" x14ac:dyDescent="0.15">
      <c r="A186" s="10"/>
    </row>
    <row r="187" spans="1:1" ht="13" x14ac:dyDescent="0.15">
      <c r="A187" s="10"/>
    </row>
    <row r="188" spans="1:1" ht="13" x14ac:dyDescent="0.15">
      <c r="A188" s="10"/>
    </row>
    <row r="189" spans="1:1" ht="13" x14ac:dyDescent="0.15">
      <c r="A189" s="10"/>
    </row>
    <row r="190" spans="1:1" ht="13" x14ac:dyDescent="0.15">
      <c r="A190" s="10"/>
    </row>
    <row r="191" spans="1:1" ht="13" x14ac:dyDescent="0.15">
      <c r="A191" s="10"/>
    </row>
    <row r="192" spans="1:1" ht="13" x14ac:dyDescent="0.15">
      <c r="A192" s="10"/>
    </row>
    <row r="193" spans="1:1" ht="13" x14ac:dyDescent="0.15">
      <c r="A193" s="10"/>
    </row>
    <row r="194" spans="1:1" ht="13" x14ac:dyDescent="0.15">
      <c r="A194" s="10"/>
    </row>
    <row r="195" spans="1:1" ht="13" x14ac:dyDescent="0.15">
      <c r="A195" s="10"/>
    </row>
    <row r="196" spans="1:1" ht="13" x14ac:dyDescent="0.15">
      <c r="A196" s="10"/>
    </row>
    <row r="197" spans="1:1" ht="13" x14ac:dyDescent="0.15">
      <c r="A197" s="10"/>
    </row>
    <row r="198" spans="1:1" ht="13" x14ac:dyDescent="0.15">
      <c r="A198" s="10"/>
    </row>
    <row r="199" spans="1:1" ht="13" x14ac:dyDescent="0.15">
      <c r="A199" s="10"/>
    </row>
    <row r="200" spans="1:1" ht="13" x14ac:dyDescent="0.15">
      <c r="A200" s="10"/>
    </row>
    <row r="201" spans="1:1" ht="13" x14ac:dyDescent="0.15">
      <c r="A201" s="10"/>
    </row>
    <row r="202" spans="1:1" ht="13" x14ac:dyDescent="0.15">
      <c r="A202" s="10"/>
    </row>
    <row r="203" spans="1:1" ht="13" x14ac:dyDescent="0.15">
      <c r="A203" s="10"/>
    </row>
    <row r="204" spans="1:1" ht="13" x14ac:dyDescent="0.15">
      <c r="A204" s="10"/>
    </row>
    <row r="205" spans="1:1" ht="13" x14ac:dyDescent="0.15">
      <c r="A205" s="10"/>
    </row>
    <row r="206" spans="1:1" ht="13" x14ac:dyDescent="0.15">
      <c r="A206" s="10"/>
    </row>
    <row r="207" spans="1:1" ht="13" x14ac:dyDescent="0.15">
      <c r="A207" s="10"/>
    </row>
    <row r="208" spans="1:1" ht="13" x14ac:dyDescent="0.15">
      <c r="A208" s="10"/>
    </row>
    <row r="209" spans="1:1" ht="13" x14ac:dyDescent="0.15">
      <c r="A209" s="10"/>
    </row>
    <row r="210" spans="1:1" ht="13" x14ac:dyDescent="0.15">
      <c r="A210" s="10"/>
    </row>
    <row r="211" spans="1:1" ht="13" x14ac:dyDescent="0.15">
      <c r="A211" s="10"/>
    </row>
    <row r="212" spans="1:1" ht="13" x14ac:dyDescent="0.15">
      <c r="A212" s="10"/>
    </row>
    <row r="213" spans="1:1" ht="13" x14ac:dyDescent="0.15">
      <c r="A213" s="10"/>
    </row>
    <row r="214" spans="1:1" ht="13" x14ac:dyDescent="0.15">
      <c r="A214" s="10"/>
    </row>
    <row r="215" spans="1:1" ht="13" x14ac:dyDescent="0.15">
      <c r="A215" s="10"/>
    </row>
    <row r="216" spans="1:1" ht="13" x14ac:dyDescent="0.15">
      <c r="A216" s="10"/>
    </row>
    <row r="217" spans="1:1" ht="13" x14ac:dyDescent="0.15">
      <c r="A217" s="10"/>
    </row>
    <row r="218" spans="1:1" ht="13" x14ac:dyDescent="0.15">
      <c r="A218" s="10"/>
    </row>
    <row r="219" spans="1:1" ht="13" x14ac:dyDescent="0.15">
      <c r="A219" s="10"/>
    </row>
    <row r="220" spans="1:1" ht="13" x14ac:dyDescent="0.15">
      <c r="A220" s="10"/>
    </row>
    <row r="221" spans="1:1" ht="13" x14ac:dyDescent="0.15">
      <c r="A221" s="10"/>
    </row>
    <row r="222" spans="1:1" ht="13" x14ac:dyDescent="0.15">
      <c r="A222" s="10"/>
    </row>
    <row r="223" spans="1:1" ht="13" x14ac:dyDescent="0.15">
      <c r="A223" s="10"/>
    </row>
    <row r="224" spans="1:1" ht="13" x14ac:dyDescent="0.15">
      <c r="A224" s="10"/>
    </row>
    <row r="225" spans="1:1" ht="13" x14ac:dyDescent="0.15">
      <c r="A225" s="10"/>
    </row>
    <row r="226" spans="1:1" ht="13" x14ac:dyDescent="0.15">
      <c r="A226" s="10"/>
    </row>
    <row r="227" spans="1:1" ht="13" x14ac:dyDescent="0.15">
      <c r="A227" s="10"/>
    </row>
    <row r="228" spans="1:1" ht="13" x14ac:dyDescent="0.15">
      <c r="A228" s="10"/>
    </row>
    <row r="229" spans="1:1" ht="13" x14ac:dyDescent="0.15">
      <c r="A229" s="10"/>
    </row>
    <row r="230" spans="1:1" ht="13" x14ac:dyDescent="0.15">
      <c r="A230" s="10"/>
    </row>
    <row r="231" spans="1:1" ht="13" x14ac:dyDescent="0.15">
      <c r="A231" s="10"/>
    </row>
    <row r="232" spans="1:1" ht="13" x14ac:dyDescent="0.15">
      <c r="A232" s="10"/>
    </row>
    <row r="233" spans="1:1" ht="13" x14ac:dyDescent="0.15">
      <c r="A233" s="10"/>
    </row>
    <row r="234" spans="1:1" ht="13" x14ac:dyDescent="0.15">
      <c r="A234" s="10"/>
    </row>
    <row r="235" spans="1:1" ht="13" x14ac:dyDescent="0.15">
      <c r="A235" s="10"/>
    </row>
    <row r="236" spans="1:1" ht="13" x14ac:dyDescent="0.15">
      <c r="A236" s="10"/>
    </row>
    <row r="237" spans="1:1" ht="13" x14ac:dyDescent="0.15">
      <c r="A237" s="10"/>
    </row>
    <row r="238" spans="1:1" ht="13" x14ac:dyDescent="0.15">
      <c r="A238" s="10"/>
    </row>
    <row r="239" spans="1:1" ht="13" x14ac:dyDescent="0.15">
      <c r="A239" s="10"/>
    </row>
    <row r="240" spans="1:1" ht="13" x14ac:dyDescent="0.15">
      <c r="A240" s="10"/>
    </row>
    <row r="241" spans="1:1" ht="13" x14ac:dyDescent="0.15">
      <c r="A241" s="10"/>
    </row>
    <row r="242" spans="1:1" ht="13" x14ac:dyDescent="0.15">
      <c r="A242" s="10"/>
    </row>
    <row r="243" spans="1:1" ht="13" x14ac:dyDescent="0.15">
      <c r="A243" s="10"/>
    </row>
    <row r="244" spans="1:1" ht="13" x14ac:dyDescent="0.15">
      <c r="A244" s="10"/>
    </row>
    <row r="245" spans="1:1" ht="13" x14ac:dyDescent="0.15">
      <c r="A245" s="10"/>
    </row>
    <row r="246" spans="1:1" ht="13" x14ac:dyDescent="0.15">
      <c r="A246" s="10"/>
    </row>
    <row r="247" spans="1:1" ht="13" x14ac:dyDescent="0.15">
      <c r="A247" s="10"/>
    </row>
    <row r="248" spans="1:1" ht="13" x14ac:dyDescent="0.15">
      <c r="A248" s="10"/>
    </row>
    <row r="249" spans="1:1" ht="13" x14ac:dyDescent="0.15">
      <c r="A249" s="10"/>
    </row>
    <row r="250" spans="1:1" ht="13" x14ac:dyDescent="0.15">
      <c r="A250" s="10"/>
    </row>
    <row r="251" spans="1:1" ht="13" x14ac:dyDescent="0.15">
      <c r="A251" s="10"/>
    </row>
    <row r="252" spans="1:1" ht="13" x14ac:dyDescent="0.15">
      <c r="A252" s="10"/>
    </row>
    <row r="253" spans="1:1" ht="13" x14ac:dyDescent="0.15">
      <c r="A253" s="10"/>
    </row>
    <row r="254" spans="1:1" ht="13" x14ac:dyDescent="0.15">
      <c r="A254" s="10"/>
    </row>
    <row r="255" spans="1:1" ht="13" x14ac:dyDescent="0.15">
      <c r="A255" s="10"/>
    </row>
    <row r="256" spans="1:1" ht="13" x14ac:dyDescent="0.15">
      <c r="A256" s="10"/>
    </row>
    <row r="257" spans="1:1" ht="13" x14ac:dyDescent="0.15">
      <c r="A257" s="10"/>
    </row>
    <row r="258" spans="1:1" ht="13" x14ac:dyDescent="0.15">
      <c r="A258" s="10"/>
    </row>
    <row r="259" spans="1:1" ht="13" x14ac:dyDescent="0.15">
      <c r="A259" s="10"/>
    </row>
    <row r="260" spans="1:1" ht="13" x14ac:dyDescent="0.15">
      <c r="A260" s="10"/>
    </row>
    <row r="261" spans="1:1" ht="13" x14ac:dyDescent="0.15">
      <c r="A261" s="10"/>
    </row>
    <row r="262" spans="1:1" ht="13" x14ac:dyDescent="0.15">
      <c r="A262" s="10"/>
    </row>
    <row r="263" spans="1:1" ht="13" x14ac:dyDescent="0.15">
      <c r="A263" s="10"/>
    </row>
    <row r="264" spans="1:1" ht="13" x14ac:dyDescent="0.15">
      <c r="A264" s="10"/>
    </row>
    <row r="265" spans="1:1" ht="13" x14ac:dyDescent="0.15">
      <c r="A265" s="10"/>
    </row>
    <row r="266" spans="1:1" ht="13" x14ac:dyDescent="0.15">
      <c r="A266" s="10"/>
    </row>
    <row r="267" spans="1:1" ht="13" x14ac:dyDescent="0.15">
      <c r="A267" s="10"/>
    </row>
    <row r="268" spans="1:1" ht="13" x14ac:dyDescent="0.15">
      <c r="A268" s="10"/>
    </row>
    <row r="269" spans="1:1" ht="13" x14ac:dyDescent="0.15">
      <c r="A269" s="10"/>
    </row>
    <row r="270" spans="1:1" ht="13" x14ac:dyDescent="0.15">
      <c r="A270" s="10"/>
    </row>
    <row r="271" spans="1:1" ht="13" x14ac:dyDescent="0.15">
      <c r="A271" s="10"/>
    </row>
    <row r="272" spans="1:1" ht="13" x14ac:dyDescent="0.15">
      <c r="A272" s="10"/>
    </row>
    <row r="273" spans="1:1" ht="13" x14ac:dyDescent="0.15">
      <c r="A273" s="10"/>
    </row>
    <row r="274" spans="1:1" ht="13" x14ac:dyDescent="0.15">
      <c r="A274" s="10"/>
    </row>
    <row r="275" spans="1:1" ht="13" x14ac:dyDescent="0.15">
      <c r="A275" s="10"/>
    </row>
    <row r="276" spans="1:1" ht="13" x14ac:dyDescent="0.15">
      <c r="A276" s="10"/>
    </row>
    <row r="277" spans="1:1" ht="13" x14ac:dyDescent="0.15">
      <c r="A277" s="10"/>
    </row>
    <row r="278" spans="1:1" ht="13" x14ac:dyDescent="0.15">
      <c r="A278" s="10"/>
    </row>
    <row r="279" spans="1:1" ht="13" x14ac:dyDescent="0.15">
      <c r="A279" s="10"/>
    </row>
    <row r="280" spans="1:1" ht="13" x14ac:dyDescent="0.15">
      <c r="A280" s="10"/>
    </row>
    <row r="281" spans="1:1" ht="13" x14ac:dyDescent="0.15">
      <c r="A281" s="10"/>
    </row>
    <row r="282" spans="1:1" ht="13" x14ac:dyDescent="0.15">
      <c r="A282" s="10"/>
    </row>
    <row r="283" spans="1:1" ht="13" x14ac:dyDescent="0.15">
      <c r="A283" s="10"/>
    </row>
    <row r="284" spans="1:1" ht="13" x14ac:dyDescent="0.15">
      <c r="A284" s="10"/>
    </row>
    <row r="285" spans="1:1" ht="13" x14ac:dyDescent="0.15">
      <c r="A285" s="10"/>
    </row>
    <row r="286" spans="1:1" ht="13" x14ac:dyDescent="0.15">
      <c r="A286" s="10"/>
    </row>
    <row r="287" spans="1:1" ht="13" x14ac:dyDescent="0.15">
      <c r="A287" s="10"/>
    </row>
    <row r="288" spans="1:1" ht="13" x14ac:dyDescent="0.15">
      <c r="A288" s="10"/>
    </row>
    <row r="289" spans="1:1" ht="13" x14ac:dyDescent="0.15">
      <c r="A289" s="10"/>
    </row>
    <row r="290" spans="1:1" ht="13" x14ac:dyDescent="0.15">
      <c r="A290" s="10"/>
    </row>
    <row r="291" spans="1:1" ht="13" x14ac:dyDescent="0.15">
      <c r="A291" s="10"/>
    </row>
    <row r="292" spans="1:1" ht="13" x14ac:dyDescent="0.15">
      <c r="A292" s="10"/>
    </row>
    <row r="293" spans="1:1" ht="13" x14ac:dyDescent="0.15">
      <c r="A293" s="10"/>
    </row>
    <row r="294" spans="1:1" ht="13" x14ac:dyDescent="0.15">
      <c r="A294" s="10"/>
    </row>
    <row r="295" spans="1:1" ht="13" x14ac:dyDescent="0.15">
      <c r="A295" s="10"/>
    </row>
    <row r="296" spans="1:1" ht="13" x14ac:dyDescent="0.15">
      <c r="A296" s="10"/>
    </row>
    <row r="297" spans="1:1" ht="13" x14ac:dyDescent="0.15">
      <c r="A297" s="10"/>
    </row>
    <row r="298" spans="1:1" ht="13" x14ac:dyDescent="0.15">
      <c r="A298" s="10"/>
    </row>
    <row r="299" spans="1:1" ht="13" x14ac:dyDescent="0.15">
      <c r="A299" s="10"/>
    </row>
    <row r="300" spans="1:1" ht="13" x14ac:dyDescent="0.15">
      <c r="A300" s="10"/>
    </row>
    <row r="301" spans="1:1" ht="13" x14ac:dyDescent="0.15">
      <c r="A301" s="10"/>
    </row>
    <row r="302" spans="1:1" ht="13" x14ac:dyDescent="0.15">
      <c r="A302" s="10"/>
    </row>
    <row r="303" spans="1:1" ht="13" x14ac:dyDescent="0.15">
      <c r="A303" s="10"/>
    </row>
    <row r="304" spans="1:1" ht="13" x14ac:dyDescent="0.15">
      <c r="A304" s="10"/>
    </row>
    <row r="305" spans="1:1" ht="13" x14ac:dyDescent="0.15">
      <c r="A305" s="10"/>
    </row>
    <row r="306" spans="1:1" ht="13" x14ac:dyDescent="0.15">
      <c r="A306" s="10"/>
    </row>
    <row r="307" spans="1:1" ht="13" x14ac:dyDescent="0.15">
      <c r="A307" s="10"/>
    </row>
    <row r="308" spans="1:1" ht="13" x14ac:dyDescent="0.15">
      <c r="A308" s="10"/>
    </row>
    <row r="309" spans="1:1" ht="13" x14ac:dyDescent="0.15">
      <c r="A309" s="10"/>
    </row>
    <row r="310" spans="1:1" ht="13" x14ac:dyDescent="0.15">
      <c r="A310" s="10"/>
    </row>
    <row r="311" spans="1:1" ht="13" x14ac:dyDescent="0.15">
      <c r="A311" s="10"/>
    </row>
    <row r="312" spans="1:1" ht="13" x14ac:dyDescent="0.15">
      <c r="A312" s="10"/>
    </row>
    <row r="313" spans="1:1" ht="13" x14ac:dyDescent="0.15">
      <c r="A313" s="10"/>
    </row>
    <row r="314" spans="1:1" ht="13" x14ac:dyDescent="0.15">
      <c r="A314" s="10"/>
    </row>
    <row r="315" spans="1:1" ht="13" x14ac:dyDescent="0.15">
      <c r="A315" s="10"/>
    </row>
    <row r="316" spans="1:1" ht="13" x14ac:dyDescent="0.15">
      <c r="A316" s="10"/>
    </row>
    <row r="317" spans="1:1" ht="13" x14ac:dyDescent="0.15">
      <c r="A317" s="10"/>
    </row>
    <row r="318" spans="1:1" ht="13" x14ac:dyDescent="0.15">
      <c r="A318" s="10"/>
    </row>
    <row r="319" spans="1:1" ht="13" x14ac:dyDescent="0.15">
      <c r="A319" s="10"/>
    </row>
    <row r="320" spans="1:1" ht="13" x14ac:dyDescent="0.15">
      <c r="A320" s="10"/>
    </row>
    <row r="321" spans="1:1" ht="13" x14ac:dyDescent="0.15">
      <c r="A321" s="10"/>
    </row>
    <row r="322" spans="1:1" ht="13" x14ac:dyDescent="0.15">
      <c r="A322" s="10"/>
    </row>
    <row r="323" spans="1:1" ht="13" x14ac:dyDescent="0.15">
      <c r="A323" s="10"/>
    </row>
    <row r="324" spans="1:1" ht="13" x14ac:dyDescent="0.15">
      <c r="A324" s="10"/>
    </row>
    <row r="325" spans="1:1" ht="13" x14ac:dyDescent="0.15">
      <c r="A325" s="10"/>
    </row>
    <row r="326" spans="1:1" ht="13" x14ac:dyDescent="0.15">
      <c r="A326" s="10"/>
    </row>
    <row r="327" spans="1:1" ht="13" x14ac:dyDescent="0.15">
      <c r="A327" s="10"/>
    </row>
    <row r="328" spans="1:1" ht="13" x14ac:dyDescent="0.15">
      <c r="A328" s="10"/>
    </row>
    <row r="329" spans="1:1" ht="13" x14ac:dyDescent="0.15">
      <c r="A329" s="10"/>
    </row>
    <row r="330" spans="1:1" ht="13" x14ac:dyDescent="0.15">
      <c r="A330" s="10"/>
    </row>
    <row r="331" spans="1:1" ht="13" x14ac:dyDescent="0.15">
      <c r="A331" s="10"/>
    </row>
    <row r="332" spans="1:1" ht="13" x14ac:dyDescent="0.15">
      <c r="A332" s="10"/>
    </row>
    <row r="333" spans="1:1" ht="13" x14ac:dyDescent="0.15">
      <c r="A333" s="10"/>
    </row>
    <row r="334" spans="1:1" ht="13" x14ac:dyDescent="0.15">
      <c r="A334" s="10"/>
    </row>
    <row r="335" spans="1:1" ht="13" x14ac:dyDescent="0.15">
      <c r="A335" s="10"/>
    </row>
    <row r="336" spans="1:1" ht="13" x14ac:dyDescent="0.15">
      <c r="A336" s="10"/>
    </row>
    <row r="337" spans="1:1" ht="13" x14ac:dyDescent="0.15">
      <c r="A337" s="10"/>
    </row>
    <row r="338" spans="1:1" ht="13" x14ac:dyDescent="0.15">
      <c r="A338" s="10"/>
    </row>
    <row r="339" spans="1:1" ht="13" x14ac:dyDescent="0.15">
      <c r="A339" s="10"/>
    </row>
    <row r="340" spans="1:1" ht="13" x14ac:dyDescent="0.15">
      <c r="A340" s="10"/>
    </row>
    <row r="341" spans="1:1" ht="13" x14ac:dyDescent="0.15">
      <c r="A341" s="10"/>
    </row>
    <row r="342" spans="1:1" ht="13" x14ac:dyDescent="0.15">
      <c r="A342" s="10"/>
    </row>
    <row r="343" spans="1:1" ht="13" x14ac:dyDescent="0.15">
      <c r="A343" s="10"/>
    </row>
    <row r="344" spans="1:1" ht="13" x14ac:dyDescent="0.15">
      <c r="A344" s="10"/>
    </row>
    <row r="345" spans="1:1" ht="13" x14ac:dyDescent="0.15">
      <c r="A345" s="10"/>
    </row>
    <row r="346" spans="1:1" ht="13" x14ac:dyDescent="0.15">
      <c r="A346" s="10"/>
    </row>
    <row r="347" spans="1:1" ht="13" x14ac:dyDescent="0.15">
      <c r="A347" s="10"/>
    </row>
    <row r="348" spans="1:1" ht="13" x14ac:dyDescent="0.15">
      <c r="A348" s="10"/>
    </row>
    <row r="349" spans="1:1" ht="13" x14ac:dyDescent="0.15">
      <c r="A349" s="10"/>
    </row>
    <row r="350" spans="1:1" ht="13" x14ac:dyDescent="0.15">
      <c r="A350" s="10"/>
    </row>
    <row r="351" spans="1:1" ht="13" x14ac:dyDescent="0.15">
      <c r="A351" s="10"/>
    </row>
    <row r="352" spans="1:1" ht="13" x14ac:dyDescent="0.15">
      <c r="A352" s="10"/>
    </row>
    <row r="353" spans="1:1" ht="13" x14ac:dyDescent="0.15">
      <c r="A353" s="10"/>
    </row>
    <row r="354" spans="1:1" ht="13" x14ac:dyDescent="0.15">
      <c r="A354" s="10"/>
    </row>
    <row r="355" spans="1:1" ht="13" x14ac:dyDescent="0.15">
      <c r="A355" s="10"/>
    </row>
    <row r="356" spans="1:1" ht="13" x14ac:dyDescent="0.15">
      <c r="A356" s="10"/>
    </row>
    <row r="357" spans="1:1" ht="13" x14ac:dyDescent="0.15">
      <c r="A357" s="10"/>
    </row>
    <row r="358" spans="1:1" ht="13" x14ac:dyDescent="0.15">
      <c r="A358" s="10"/>
    </row>
    <row r="359" spans="1:1" ht="13" x14ac:dyDescent="0.15">
      <c r="A359" s="10"/>
    </row>
    <row r="360" spans="1:1" ht="13" x14ac:dyDescent="0.15">
      <c r="A360" s="10"/>
    </row>
    <row r="361" spans="1:1" ht="13" x14ac:dyDescent="0.15">
      <c r="A361" s="10"/>
    </row>
    <row r="362" spans="1:1" ht="13" x14ac:dyDescent="0.15">
      <c r="A362" s="10"/>
    </row>
    <row r="363" spans="1:1" ht="13" x14ac:dyDescent="0.15">
      <c r="A363" s="10"/>
    </row>
    <row r="364" spans="1:1" ht="13" x14ac:dyDescent="0.15">
      <c r="A364" s="10"/>
    </row>
    <row r="365" spans="1:1" ht="13" x14ac:dyDescent="0.15">
      <c r="A365" s="10"/>
    </row>
    <row r="366" spans="1:1" ht="13" x14ac:dyDescent="0.15">
      <c r="A366" s="10"/>
    </row>
    <row r="367" spans="1:1" ht="13" x14ac:dyDescent="0.15">
      <c r="A367" s="10"/>
    </row>
    <row r="368" spans="1:1" ht="13" x14ac:dyDescent="0.15">
      <c r="A368" s="10"/>
    </row>
    <row r="369" spans="1:1" ht="13" x14ac:dyDescent="0.15">
      <c r="A369" s="10"/>
    </row>
    <row r="370" spans="1:1" ht="13" x14ac:dyDescent="0.15">
      <c r="A370" s="10"/>
    </row>
    <row r="371" spans="1:1" ht="13" x14ac:dyDescent="0.15">
      <c r="A371" s="10"/>
    </row>
    <row r="372" spans="1:1" ht="13" x14ac:dyDescent="0.15">
      <c r="A372" s="10"/>
    </row>
    <row r="373" spans="1:1" ht="13" x14ac:dyDescent="0.15">
      <c r="A373" s="10"/>
    </row>
    <row r="374" spans="1:1" ht="13" x14ac:dyDescent="0.15">
      <c r="A374" s="10"/>
    </row>
    <row r="375" spans="1:1" ht="13" x14ac:dyDescent="0.15">
      <c r="A375" s="10"/>
    </row>
    <row r="376" spans="1:1" ht="13" x14ac:dyDescent="0.15">
      <c r="A376" s="10"/>
    </row>
    <row r="377" spans="1:1" ht="13" x14ac:dyDescent="0.15">
      <c r="A377" s="10"/>
    </row>
    <row r="378" spans="1:1" ht="13" x14ac:dyDescent="0.15">
      <c r="A378" s="10"/>
    </row>
    <row r="379" spans="1:1" ht="13" x14ac:dyDescent="0.15">
      <c r="A379" s="10"/>
    </row>
    <row r="380" spans="1:1" ht="13" x14ac:dyDescent="0.15">
      <c r="A380" s="10"/>
    </row>
    <row r="381" spans="1:1" ht="13" x14ac:dyDescent="0.15">
      <c r="A381" s="10"/>
    </row>
    <row r="382" spans="1:1" ht="13" x14ac:dyDescent="0.15">
      <c r="A382" s="10"/>
    </row>
    <row r="383" spans="1:1" ht="13" x14ac:dyDescent="0.15">
      <c r="A383" s="10"/>
    </row>
    <row r="384" spans="1:1" ht="13" x14ac:dyDescent="0.15">
      <c r="A384" s="10"/>
    </row>
    <row r="385" spans="1:1" ht="13" x14ac:dyDescent="0.15">
      <c r="A385" s="10"/>
    </row>
    <row r="386" spans="1:1" ht="13" x14ac:dyDescent="0.15">
      <c r="A386" s="10"/>
    </row>
    <row r="387" spans="1:1" ht="13" x14ac:dyDescent="0.15">
      <c r="A387" s="10"/>
    </row>
    <row r="388" spans="1:1" ht="13" x14ac:dyDescent="0.15">
      <c r="A388" s="10"/>
    </row>
    <row r="389" spans="1:1" ht="13" x14ac:dyDescent="0.15">
      <c r="A389" s="10"/>
    </row>
    <row r="390" spans="1:1" ht="13" x14ac:dyDescent="0.15">
      <c r="A390" s="10"/>
    </row>
    <row r="391" spans="1:1" ht="13" x14ac:dyDescent="0.15">
      <c r="A391" s="10"/>
    </row>
    <row r="392" spans="1:1" ht="13" x14ac:dyDescent="0.15">
      <c r="A392" s="10"/>
    </row>
    <row r="393" spans="1:1" ht="13" x14ac:dyDescent="0.15">
      <c r="A393" s="10"/>
    </row>
    <row r="394" spans="1:1" ht="13" x14ac:dyDescent="0.15">
      <c r="A394" s="10"/>
    </row>
    <row r="395" spans="1:1" ht="13" x14ac:dyDescent="0.15">
      <c r="A395" s="10"/>
    </row>
    <row r="396" spans="1:1" ht="13" x14ac:dyDescent="0.15">
      <c r="A396" s="10"/>
    </row>
    <row r="397" spans="1:1" ht="13" x14ac:dyDescent="0.15">
      <c r="A397" s="10"/>
    </row>
    <row r="398" spans="1:1" ht="13" x14ac:dyDescent="0.15">
      <c r="A398" s="10"/>
    </row>
    <row r="399" spans="1:1" ht="13" x14ac:dyDescent="0.15">
      <c r="A399" s="10"/>
    </row>
    <row r="400" spans="1:1" ht="13" x14ac:dyDescent="0.15">
      <c r="A400" s="10"/>
    </row>
    <row r="401" spans="1:1" ht="13" x14ac:dyDescent="0.15">
      <c r="A401" s="10"/>
    </row>
    <row r="402" spans="1:1" ht="13" x14ac:dyDescent="0.15">
      <c r="A402" s="10"/>
    </row>
    <row r="403" spans="1:1" ht="13" x14ac:dyDescent="0.15">
      <c r="A403" s="10"/>
    </row>
    <row r="404" spans="1:1" ht="13" x14ac:dyDescent="0.15">
      <c r="A404" s="10"/>
    </row>
    <row r="405" spans="1:1" ht="13" x14ac:dyDescent="0.15">
      <c r="A405" s="10"/>
    </row>
    <row r="406" spans="1:1" ht="13" x14ac:dyDescent="0.15">
      <c r="A406" s="10"/>
    </row>
    <row r="407" spans="1:1" ht="13" x14ac:dyDescent="0.15">
      <c r="A407" s="10"/>
    </row>
    <row r="408" spans="1:1" ht="13" x14ac:dyDescent="0.15">
      <c r="A408" s="10"/>
    </row>
    <row r="409" spans="1:1" ht="13" x14ac:dyDescent="0.15">
      <c r="A409" s="10"/>
    </row>
    <row r="410" spans="1:1" ht="13" x14ac:dyDescent="0.15">
      <c r="A410" s="10"/>
    </row>
    <row r="411" spans="1:1" ht="13" x14ac:dyDescent="0.15">
      <c r="A411" s="10"/>
    </row>
    <row r="412" spans="1:1" ht="13" x14ac:dyDescent="0.15">
      <c r="A412" s="10"/>
    </row>
    <row r="413" spans="1:1" ht="13" x14ac:dyDescent="0.15">
      <c r="A413" s="10"/>
    </row>
    <row r="414" spans="1:1" ht="13" x14ac:dyDescent="0.15">
      <c r="A414" s="10"/>
    </row>
    <row r="415" spans="1:1" ht="13" x14ac:dyDescent="0.15">
      <c r="A415" s="10"/>
    </row>
    <row r="416" spans="1:1" ht="13" x14ac:dyDescent="0.15">
      <c r="A416" s="10"/>
    </row>
    <row r="417" spans="1:1" ht="13" x14ac:dyDescent="0.15">
      <c r="A417" s="10"/>
    </row>
    <row r="418" spans="1:1" ht="13" x14ac:dyDescent="0.15">
      <c r="A418" s="10"/>
    </row>
    <row r="419" spans="1:1" ht="13" x14ac:dyDescent="0.15">
      <c r="A419" s="10"/>
    </row>
    <row r="420" spans="1:1" ht="13" x14ac:dyDescent="0.15">
      <c r="A420" s="10"/>
    </row>
    <row r="421" spans="1:1" ht="13" x14ac:dyDescent="0.15">
      <c r="A421" s="10"/>
    </row>
    <row r="422" spans="1:1" ht="13" x14ac:dyDescent="0.15">
      <c r="A422" s="10"/>
    </row>
    <row r="423" spans="1:1" ht="13" x14ac:dyDescent="0.15">
      <c r="A423" s="10"/>
    </row>
    <row r="424" spans="1:1" ht="13" x14ac:dyDescent="0.15">
      <c r="A424" s="10"/>
    </row>
    <row r="425" spans="1:1" ht="13" x14ac:dyDescent="0.15">
      <c r="A425" s="10"/>
    </row>
    <row r="426" spans="1:1" ht="13" x14ac:dyDescent="0.15">
      <c r="A426" s="10"/>
    </row>
    <row r="427" spans="1:1" ht="13" x14ac:dyDescent="0.15">
      <c r="A427" s="10"/>
    </row>
    <row r="428" spans="1:1" ht="13" x14ac:dyDescent="0.15">
      <c r="A428" s="10"/>
    </row>
    <row r="429" spans="1:1" ht="13" x14ac:dyDescent="0.15">
      <c r="A429" s="10"/>
    </row>
    <row r="430" spans="1:1" ht="13" x14ac:dyDescent="0.15">
      <c r="A430" s="10"/>
    </row>
    <row r="431" spans="1:1" ht="13" x14ac:dyDescent="0.15">
      <c r="A431" s="10"/>
    </row>
    <row r="432" spans="1:1" ht="13" x14ac:dyDescent="0.15">
      <c r="A432" s="10"/>
    </row>
    <row r="433" spans="1:1" ht="13" x14ac:dyDescent="0.15">
      <c r="A433" s="10"/>
    </row>
    <row r="434" spans="1:1" ht="13" x14ac:dyDescent="0.15">
      <c r="A434" s="10"/>
    </row>
    <row r="435" spans="1:1" ht="13" x14ac:dyDescent="0.15">
      <c r="A435" s="10"/>
    </row>
    <row r="436" spans="1:1" ht="13" x14ac:dyDescent="0.15">
      <c r="A436" s="10"/>
    </row>
    <row r="437" spans="1:1" ht="13" x14ac:dyDescent="0.15">
      <c r="A437" s="10"/>
    </row>
    <row r="438" spans="1:1" ht="13" x14ac:dyDescent="0.15">
      <c r="A438" s="10"/>
    </row>
    <row r="439" spans="1:1" ht="13" x14ac:dyDescent="0.15">
      <c r="A439" s="10"/>
    </row>
    <row r="440" spans="1:1" ht="13" x14ac:dyDescent="0.15">
      <c r="A440" s="10"/>
    </row>
    <row r="441" spans="1:1" ht="13" x14ac:dyDescent="0.15">
      <c r="A441" s="10"/>
    </row>
    <row r="442" spans="1:1" ht="13" x14ac:dyDescent="0.15">
      <c r="A442" s="10"/>
    </row>
    <row r="443" spans="1:1" ht="13" x14ac:dyDescent="0.15">
      <c r="A443" s="10"/>
    </row>
    <row r="444" spans="1:1" ht="13" x14ac:dyDescent="0.15">
      <c r="A444" s="10"/>
    </row>
    <row r="445" spans="1:1" ht="13" x14ac:dyDescent="0.15">
      <c r="A445" s="10"/>
    </row>
    <row r="446" spans="1:1" ht="13" x14ac:dyDescent="0.15">
      <c r="A446" s="10"/>
    </row>
    <row r="447" spans="1:1" ht="13" x14ac:dyDescent="0.15">
      <c r="A447" s="10"/>
    </row>
    <row r="448" spans="1:1" ht="13" x14ac:dyDescent="0.15">
      <c r="A448" s="10"/>
    </row>
    <row r="449" spans="1:1" ht="13" x14ac:dyDescent="0.15">
      <c r="A449" s="10"/>
    </row>
    <row r="450" spans="1:1" ht="13" x14ac:dyDescent="0.15">
      <c r="A450" s="10"/>
    </row>
    <row r="451" spans="1:1" ht="13" x14ac:dyDescent="0.15">
      <c r="A451" s="10"/>
    </row>
    <row r="452" spans="1:1" ht="13" x14ac:dyDescent="0.15">
      <c r="A452" s="10"/>
    </row>
    <row r="453" spans="1:1" ht="13" x14ac:dyDescent="0.15">
      <c r="A453" s="10"/>
    </row>
    <row r="454" spans="1:1" ht="13" x14ac:dyDescent="0.15">
      <c r="A454" s="10"/>
    </row>
    <row r="455" spans="1:1" ht="13" x14ac:dyDescent="0.15">
      <c r="A455" s="10"/>
    </row>
    <row r="456" spans="1:1" ht="13" x14ac:dyDescent="0.15">
      <c r="A456" s="10"/>
    </row>
    <row r="457" spans="1:1" ht="13" x14ac:dyDescent="0.15">
      <c r="A457" s="10"/>
    </row>
    <row r="458" spans="1:1" ht="13" x14ac:dyDescent="0.15">
      <c r="A458" s="10"/>
    </row>
    <row r="459" spans="1:1" ht="13" x14ac:dyDescent="0.15">
      <c r="A459" s="10"/>
    </row>
    <row r="460" spans="1:1" ht="13" x14ac:dyDescent="0.15">
      <c r="A460" s="10"/>
    </row>
    <row r="461" spans="1:1" ht="13" x14ac:dyDescent="0.15">
      <c r="A461" s="10"/>
    </row>
    <row r="462" spans="1:1" ht="13" x14ac:dyDescent="0.15">
      <c r="A462" s="10"/>
    </row>
    <row r="463" spans="1:1" ht="13" x14ac:dyDescent="0.15">
      <c r="A463" s="10"/>
    </row>
    <row r="464" spans="1:1" ht="13" x14ac:dyDescent="0.15">
      <c r="A464" s="10"/>
    </row>
    <row r="465" spans="1:1" ht="13" x14ac:dyDescent="0.15">
      <c r="A465" s="10"/>
    </row>
    <row r="466" spans="1:1" ht="13" x14ac:dyDescent="0.15">
      <c r="A466" s="10"/>
    </row>
    <row r="467" spans="1:1" ht="13" x14ac:dyDescent="0.15">
      <c r="A467" s="10"/>
    </row>
    <row r="468" spans="1:1" ht="13" x14ac:dyDescent="0.15">
      <c r="A468" s="10"/>
    </row>
    <row r="469" spans="1:1" ht="13" x14ac:dyDescent="0.15">
      <c r="A469" s="10"/>
    </row>
    <row r="470" spans="1:1" ht="13" x14ac:dyDescent="0.15">
      <c r="A470" s="10"/>
    </row>
    <row r="471" spans="1:1" ht="13" x14ac:dyDescent="0.15">
      <c r="A471" s="10"/>
    </row>
    <row r="472" spans="1:1" ht="13" x14ac:dyDescent="0.15">
      <c r="A472" s="10"/>
    </row>
    <row r="473" spans="1:1" ht="13" x14ac:dyDescent="0.15">
      <c r="A473" s="10"/>
    </row>
    <row r="474" spans="1:1" ht="13" x14ac:dyDescent="0.15">
      <c r="A474" s="10"/>
    </row>
    <row r="475" spans="1:1" ht="13" x14ac:dyDescent="0.15">
      <c r="A475" s="10"/>
    </row>
    <row r="476" spans="1:1" ht="13" x14ac:dyDescent="0.15">
      <c r="A476" s="10"/>
    </row>
    <row r="477" spans="1:1" ht="13" x14ac:dyDescent="0.15">
      <c r="A477" s="10"/>
    </row>
    <row r="478" spans="1:1" ht="13" x14ac:dyDescent="0.15">
      <c r="A478" s="10"/>
    </row>
    <row r="479" spans="1:1" ht="13" x14ac:dyDescent="0.15">
      <c r="A479" s="10"/>
    </row>
    <row r="480" spans="1:1" ht="13" x14ac:dyDescent="0.15">
      <c r="A480" s="10"/>
    </row>
    <row r="481" spans="1:1" ht="13" x14ac:dyDescent="0.15">
      <c r="A481" s="10"/>
    </row>
    <row r="482" spans="1:1" ht="13" x14ac:dyDescent="0.15">
      <c r="A482" s="10"/>
    </row>
    <row r="483" spans="1:1" ht="13" x14ac:dyDescent="0.15">
      <c r="A483" s="10"/>
    </row>
    <row r="484" spans="1:1" ht="13" x14ac:dyDescent="0.15">
      <c r="A484" s="10"/>
    </row>
    <row r="485" spans="1:1" ht="13" x14ac:dyDescent="0.15">
      <c r="A485" s="10"/>
    </row>
    <row r="486" spans="1:1" ht="13" x14ac:dyDescent="0.15">
      <c r="A486" s="10"/>
    </row>
    <row r="487" spans="1:1" ht="13" x14ac:dyDescent="0.15">
      <c r="A487" s="10"/>
    </row>
    <row r="488" spans="1:1" ht="13" x14ac:dyDescent="0.15">
      <c r="A488" s="10"/>
    </row>
    <row r="489" spans="1:1" ht="13" x14ac:dyDescent="0.15">
      <c r="A489" s="10"/>
    </row>
    <row r="490" spans="1:1" ht="13" x14ac:dyDescent="0.15">
      <c r="A490" s="10"/>
    </row>
    <row r="491" spans="1:1" ht="13" x14ac:dyDescent="0.15">
      <c r="A491" s="10"/>
    </row>
    <row r="492" spans="1:1" ht="13" x14ac:dyDescent="0.15">
      <c r="A492" s="10"/>
    </row>
    <row r="493" spans="1:1" ht="13" x14ac:dyDescent="0.15">
      <c r="A493" s="10"/>
    </row>
    <row r="494" spans="1:1" ht="13" x14ac:dyDescent="0.15">
      <c r="A494" s="10"/>
    </row>
    <row r="495" spans="1:1" ht="13" x14ac:dyDescent="0.15">
      <c r="A495" s="10"/>
    </row>
    <row r="496" spans="1:1" ht="13" x14ac:dyDescent="0.15">
      <c r="A496" s="10"/>
    </row>
    <row r="497" spans="1:1" ht="13" x14ac:dyDescent="0.15">
      <c r="A497" s="10"/>
    </row>
    <row r="498" spans="1:1" ht="13" x14ac:dyDescent="0.15">
      <c r="A498" s="10"/>
    </row>
    <row r="499" spans="1:1" ht="13" x14ac:dyDescent="0.15">
      <c r="A499" s="10"/>
    </row>
    <row r="500" spans="1:1" ht="13" x14ac:dyDescent="0.15">
      <c r="A500" s="10"/>
    </row>
    <row r="501" spans="1:1" ht="13" x14ac:dyDescent="0.15">
      <c r="A501" s="10"/>
    </row>
    <row r="502" spans="1:1" ht="13" x14ac:dyDescent="0.15">
      <c r="A502" s="10"/>
    </row>
    <row r="503" spans="1:1" ht="13" x14ac:dyDescent="0.15">
      <c r="A503" s="10"/>
    </row>
    <row r="504" spans="1:1" ht="13" x14ac:dyDescent="0.15">
      <c r="A504" s="10"/>
    </row>
    <row r="505" spans="1:1" ht="13" x14ac:dyDescent="0.15">
      <c r="A505" s="10"/>
    </row>
    <row r="506" spans="1:1" ht="13" x14ac:dyDescent="0.15">
      <c r="A506" s="10"/>
    </row>
    <row r="507" spans="1:1" ht="13" x14ac:dyDescent="0.15">
      <c r="A507" s="10"/>
    </row>
    <row r="508" spans="1:1" ht="13" x14ac:dyDescent="0.15">
      <c r="A508" s="10"/>
    </row>
    <row r="509" spans="1:1" ht="13" x14ac:dyDescent="0.15">
      <c r="A509" s="10"/>
    </row>
    <row r="510" spans="1:1" ht="13" x14ac:dyDescent="0.15">
      <c r="A510" s="10"/>
    </row>
    <row r="511" spans="1:1" ht="13" x14ac:dyDescent="0.15">
      <c r="A511" s="10"/>
    </row>
    <row r="512" spans="1:1" ht="13" x14ac:dyDescent="0.15">
      <c r="A512" s="10"/>
    </row>
    <row r="513" spans="1:1" ht="13" x14ac:dyDescent="0.15">
      <c r="A513" s="10"/>
    </row>
    <row r="514" spans="1:1" ht="13" x14ac:dyDescent="0.15">
      <c r="A514" s="10"/>
    </row>
    <row r="515" spans="1:1" ht="13" x14ac:dyDescent="0.15">
      <c r="A515" s="10"/>
    </row>
    <row r="516" spans="1:1" ht="13" x14ac:dyDescent="0.15">
      <c r="A516" s="10"/>
    </row>
    <row r="517" spans="1:1" ht="13" x14ac:dyDescent="0.15">
      <c r="A517" s="10"/>
    </row>
    <row r="518" spans="1:1" ht="13" x14ac:dyDescent="0.15">
      <c r="A518" s="10"/>
    </row>
    <row r="519" spans="1:1" ht="13" x14ac:dyDescent="0.15">
      <c r="A519" s="10"/>
    </row>
    <row r="520" spans="1:1" ht="13" x14ac:dyDescent="0.15">
      <c r="A520" s="10"/>
    </row>
    <row r="521" spans="1:1" ht="13" x14ac:dyDescent="0.15">
      <c r="A521" s="10"/>
    </row>
    <row r="522" spans="1:1" ht="13" x14ac:dyDescent="0.15">
      <c r="A522" s="10"/>
    </row>
    <row r="523" spans="1:1" ht="13" x14ac:dyDescent="0.15">
      <c r="A523" s="10"/>
    </row>
    <row r="524" spans="1:1" ht="13" x14ac:dyDescent="0.15">
      <c r="A524" s="10"/>
    </row>
    <row r="525" spans="1:1" ht="13" x14ac:dyDescent="0.15">
      <c r="A525" s="10"/>
    </row>
    <row r="526" spans="1:1" ht="13" x14ac:dyDescent="0.15">
      <c r="A526" s="10"/>
    </row>
    <row r="527" spans="1:1" ht="13" x14ac:dyDescent="0.15">
      <c r="A527" s="10"/>
    </row>
    <row r="528" spans="1:1" ht="13" x14ac:dyDescent="0.15">
      <c r="A528" s="10"/>
    </row>
    <row r="529" spans="1:1" ht="13" x14ac:dyDescent="0.15">
      <c r="A529" s="10"/>
    </row>
    <row r="530" spans="1:1" ht="13" x14ac:dyDescent="0.15">
      <c r="A530" s="10"/>
    </row>
    <row r="531" spans="1:1" ht="13" x14ac:dyDescent="0.15">
      <c r="A531" s="10"/>
    </row>
    <row r="532" spans="1:1" ht="13" x14ac:dyDescent="0.15">
      <c r="A532" s="10"/>
    </row>
    <row r="533" spans="1:1" ht="13" x14ac:dyDescent="0.15">
      <c r="A533" s="10"/>
    </row>
    <row r="534" spans="1:1" ht="13" x14ac:dyDescent="0.15">
      <c r="A534" s="10"/>
    </row>
    <row r="535" spans="1:1" ht="13" x14ac:dyDescent="0.15">
      <c r="A535" s="10"/>
    </row>
    <row r="536" spans="1:1" ht="13" x14ac:dyDescent="0.15">
      <c r="A536" s="10"/>
    </row>
    <row r="537" spans="1:1" ht="13" x14ac:dyDescent="0.15">
      <c r="A537" s="10"/>
    </row>
    <row r="538" spans="1:1" ht="13" x14ac:dyDescent="0.15">
      <c r="A538" s="10"/>
    </row>
    <row r="539" spans="1:1" ht="13" x14ac:dyDescent="0.15">
      <c r="A539" s="10"/>
    </row>
    <row r="540" spans="1:1" ht="13" x14ac:dyDescent="0.15">
      <c r="A540" s="10"/>
    </row>
    <row r="541" spans="1:1" ht="13" x14ac:dyDescent="0.15">
      <c r="A541" s="10"/>
    </row>
    <row r="542" spans="1:1" ht="13" x14ac:dyDescent="0.15">
      <c r="A542" s="10"/>
    </row>
    <row r="543" spans="1:1" ht="13" x14ac:dyDescent="0.15">
      <c r="A543" s="10"/>
    </row>
    <row r="544" spans="1:1" ht="13" x14ac:dyDescent="0.15">
      <c r="A544" s="10"/>
    </row>
    <row r="545" spans="1:1" ht="13" x14ac:dyDescent="0.15">
      <c r="A545" s="10"/>
    </row>
    <row r="546" spans="1:1" ht="13" x14ac:dyDescent="0.15">
      <c r="A546" s="10"/>
    </row>
    <row r="547" spans="1:1" ht="13" x14ac:dyDescent="0.15">
      <c r="A547" s="10"/>
    </row>
    <row r="548" spans="1:1" ht="13" x14ac:dyDescent="0.15">
      <c r="A548" s="10"/>
    </row>
    <row r="549" spans="1:1" ht="13" x14ac:dyDescent="0.15">
      <c r="A549" s="10"/>
    </row>
    <row r="550" spans="1:1" ht="13" x14ac:dyDescent="0.15">
      <c r="A550" s="10"/>
    </row>
    <row r="551" spans="1:1" ht="13" x14ac:dyDescent="0.15">
      <c r="A551" s="10"/>
    </row>
    <row r="552" spans="1:1" ht="13" x14ac:dyDescent="0.15">
      <c r="A552" s="10"/>
    </row>
    <row r="553" spans="1:1" ht="13" x14ac:dyDescent="0.15">
      <c r="A553" s="10"/>
    </row>
    <row r="554" spans="1:1" ht="13" x14ac:dyDescent="0.15">
      <c r="A554" s="10"/>
    </row>
    <row r="555" spans="1:1" ht="13" x14ac:dyDescent="0.15">
      <c r="A555" s="10"/>
    </row>
    <row r="556" spans="1:1" ht="13" x14ac:dyDescent="0.15">
      <c r="A556" s="10"/>
    </row>
    <row r="557" spans="1:1" ht="13" x14ac:dyDescent="0.15">
      <c r="A557" s="10"/>
    </row>
    <row r="558" spans="1:1" ht="13" x14ac:dyDescent="0.15">
      <c r="A558" s="10"/>
    </row>
    <row r="559" spans="1:1" ht="13" x14ac:dyDescent="0.15">
      <c r="A559" s="10"/>
    </row>
    <row r="560" spans="1:1" ht="13" x14ac:dyDescent="0.15">
      <c r="A560" s="10"/>
    </row>
    <row r="561" spans="1:1" ht="13" x14ac:dyDescent="0.15">
      <c r="A561" s="10"/>
    </row>
    <row r="562" spans="1:1" ht="13" x14ac:dyDescent="0.15">
      <c r="A562" s="10"/>
    </row>
    <row r="563" spans="1:1" ht="13" x14ac:dyDescent="0.15">
      <c r="A563" s="10"/>
    </row>
    <row r="564" spans="1:1" ht="13" x14ac:dyDescent="0.15">
      <c r="A564" s="10"/>
    </row>
    <row r="565" spans="1:1" ht="13" x14ac:dyDescent="0.15">
      <c r="A565" s="10"/>
    </row>
    <row r="566" spans="1:1" ht="13" x14ac:dyDescent="0.15">
      <c r="A566" s="10"/>
    </row>
    <row r="567" spans="1:1" ht="13" x14ac:dyDescent="0.15">
      <c r="A567" s="10"/>
    </row>
    <row r="568" spans="1:1" ht="13" x14ac:dyDescent="0.15">
      <c r="A568" s="10"/>
    </row>
    <row r="569" spans="1:1" ht="13" x14ac:dyDescent="0.15">
      <c r="A569" s="10"/>
    </row>
    <row r="570" spans="1:1" ht="13" x14ac:dyDescent="0.15">
      <c r="A570" s="10"/>
    </row>
    <row r="571" spans="1:1" ht="13" x14ac:dyDescent="0.15">
      <c r="A571" s="10"/>
    </row>
    <row r="572" spans="1:1" ht="13" x14ac:dyDescent="0.15">
      <c r="A572" s="10"/>
    </row>
    <row r="573" spans="1:1" ht="13" x14ac:dyDescent="0.15">
      <c r="A573" s="10"/>
    </row>
    <row r="574" spans="1:1" ht="13" x14ac:dyDescent="0.15">
      <c r="A574" s="10"/>
    </row>
    <row r="575" spans="1:1" ht="13" x14ac:dyDescent="0.15">
      <c r="A575" s="10"/>
    </row>
    <row r="576" spans="1:1" ht="13" x14ac:dyDescent="0.15">
      <c r="A576" s="10"/>
    </row>
    <row r="577" spans="1:1" ht="13" x14ac:dyDescent="0.15">
      <c r="A577" s="10"/>
    </row>
    <row r="578" spans="1:1" ht="13" x14ac:dyDescent="0.15">
      <c r="A578" s="10"/>
    </row>
    <row r="579" spans="1:1" ht="13" x14ac:dyDescent="0.15">
      <c r="A579" s="10"/>
    </row>
    <row r="580" spans="1:1" ht="13" x14ac:dyDescent="0.15">
      <c r="A580" s="10"/>
    </row>
    <row r="581" spans="1:1" ht="13" x14ac:dyDescent="0.15">
      <c r="A581" s="10"/>
    </row>
    <row r="582" spans="1:1" ht="13" x14ac:dyDescent="0.15">
      <c r="A582" s="10"/>
    </row>
    <row r="583" spans="1:1" ht="13" x14ac:dyDescent="0.15">
      <c r="A583" s="10"/>
    </row>
    <row r="584" spans="1:1" ht="13" x14ac:dyDescent="0.15">
      <c r="A584" s="10"/>
    </row>
    <row r="585" spans="1:1" ht="13" x14ac:dyDescent="0.15">
      <c r="A585" s="10"/>
    </row>
    <row r="586" spans="1:1" ht="13" x14ac:dyDescent="0.15">
      <c r="A586" s="10"/>
    </row>
    <row r="587" spans="1:1" ht="13" x14ac:dyDescent="0.15">
      <c r="A587" s="10"/>
    </row>
    <row r="588" spans="1:1" ht="13" x14ac:dyDescent="0.15">
      <c r="A588" s="10"/>
    </row>
    <row r="589" spans="1:1" ht="13" x14ac:dyDescent="0.15">
      <c r="A589" s="10"/>
    </row>
    <row r="590" spans="1:1" ht="13" x14ac:dyDescent="0.15">
      <c r="A590" s="10"/>
    </row>
    <row r="591" spans="1:1" ht="13" x14ac:dyDescent="0.15">
      <c r="A591" s="10"/>
    </row>
    <row r="592" spans="1:1" ht="13" x14ac:dyDescent="0.15">
      <c r="A592" s="10"/>
    </row>
    <row r="593" spans="1:1" ht="13" x14ac:dyDescent="0.15">
      <c r="A593" s="10"/>
    </row>
    <row r="594" spans="1:1" ht="13" x14ac:dyDescent="0.15">
      <c r="A594" s="10"/>
    </row>
    <row r="595" spans="1:1" ht="13" x14ac:dyDescent="0.15">
      <c r="A595" s="10"/>
    </row>
    <row r="596" spans="1:1" ht="13" x14ac:dyDescent="0.15">
      <c r="A596" s="10"/>
    </row>
    <row r="597" spans="1:1" ht="13" x14ac:dyDescent="0.15">
      <c r="A597" s="10"/>
    </row>
    <row r="598" spans="1:1" ht="13" x14ac:dyDescent="0.15">
      <c r="A598" s="10"/>
    </row>
    <row r="599" spans="1:1" ht="13" x14ac:dyDescent="0.15">
      <c r="A599" s="10"/>
    </row>
    <row r="600" spans="1:1" ht="13" x14ac:dyDescent="0.15">
      <c r="A600" s="10"/>
    </row>
    <row r="601" spans="1:1" ht="13" x14ac:dyDescent="0.15">
      <c r="A601" s="10"/>
    </row>
    <row r="602" spans="1:1" ht="13" x14ac:dyDescent="0.15">
      <c r="A602" s="10"/>
    </row>
    <row r="603" spans="1:1" ht="13" x14ac:dyDescent="0.15">
      <c r="A603" s="10"/>
    </row>
    <row r="604" spans="1:1" ht="13" x14ac:dyDescent="0.15">
      <c r="A604" s="10"/>
    </row>
    <row r="605" spans="1:1" ht="13" x14ac:dyDescent="0.15">
      <c r="A605" s="10"/>
    </row>
    <row r="606" spans="1:1" ht="13" x14ac:dyDescent="0.15">
      <c r="A606" s="10"/>
    </row>
    <row r="607" spans="1:1" ht="13" x14ac:dyDescent="0.15">
      <c r="A607" s="10"/>
    </row>
    <row r="608" spans="1:1" ht="13" x14ac:dyDescent="0.15">
      <c r="A608" s="10"/>
    </row>
    <row r="609" spans="1:1" ht="13" x14ac:dyDescent="0.15">
      <c r="A609" s="10"/>
    </row>
    <row r="610" spans="1:1" ht="13" x14ac:dyDescent="0.15">
      <c r="A610" s="10"/>
    </row>
    <row r="611" spans="1:1" ht="13" x14ac:dyDescent="0.15">
      <c r="A611" s="10"/>
    </row>
    <row r="612" spans="1:1" ht="13" x14ac:dyDescent="0.15">
      <c r="A612" s="10"/>
    </row>
    <row r="613" spans="1:1" ht="13" x14ac:dyDescent="0.15">
      <c r="A613" s="10"/>
    </row>
    <row r="614" spans="1:1" ht="13" x14ac:dyDescent="0.15">
      <c r="A614" s="10"/>
    </row>
    <row r="615" spans="1:1" ht="13" x14ac:dyDescent="0.15">
      <c r="A615" s="10"/>
    </row>
    <row r="616" spans="1:1" ht="13" x14ac:dyDescent="0.15">
      <c r="A616" s="10"/>
    </row>
    <row r="617" spans="1:1" ht="13" x14ac:dyDescent="0.15">
      <c r="A617" s="10"/>
    </row>
    <row r="618" spans="1:1" ht="13" x14ac:dyDescent="0.15">
      <c r="A618" s="10"/>
    </row>
    <row r="619" spans="1:1" ht="13" x14ac:dyDescent="0.15">
      <c r="A619" s="10"/>
    </row>
    <row r="620" spans="1:1" ht="13" x14ac:dyDescent="0.15">
      <c r="A620" s="10"/>
    </row>
    <row r="621" spans="1:1" ht="13" x14ac:dyDescent="0.15">
      <c r="A621" s="10"/>
    </row>
    <row r="622" spans="1:1" ht="13" x14ac:dyDescent="0.15">
      <c r="A622" s="10"/>
    </row>
    <row r="623" spans="1:1" ht="13" x14ac:dyDescent="0.15">
      <c r="A623" s="10"/>
    </row>
    <row r="624" spans="1:1" ht="13" x14ac:dyDescent="0.15">
      <c r="A624" s="10"/>
    </row>
    <row r="625" spans="1:1" ht="13" x14ac:dyDescent="0.15">
      <c r="A625" s="10"/>
    </row>
    <row r="626" spans="1:1" ht="13" x14ac:dyDescent="0.15">
      <c r="A626" s="10"/>
    </row>
    <row r="627" spans="1:1" ht="13" x14ac:dyDescent="0.15">
      <c r="A627" s="10"/>
    </row>
    <row r="628" spans="1:1" ht="13" x14ac:dyDescent="0.15">
      <c r="A628" s="10"/>
    </row>
    <row r="629" spans="1:1" ht="13" x14ac:dyDescent="0.15">
      <c r="A629" s="10"/>
    </row>
    <row r="630" spans="1:1" ht="13" x14ac:dyDescent="0.15">
      <c r="A630" s="10"/>
    </row>
    <row r="631" spans="1:1" ht="13" x14ac:dyDescent="0.15">
      <c r="A631" s="10"/>
    </row>
    <row r="632" spans="1:1" ht="13" x14ac:dyDescent="0.15">
      <c r="A632" s="10"/>
    </row>
    <row r="633" spans="1:1" ht="13" x14ac:dyDescent="0.15">
      <c r="A633" s="10"/>
    </row>
    <row r="634" spans="1:1" ht="13" x14ac:dyDescent="0.15">
      <c r="A634" s="10"/>
    </row>
    <row r="635" spans="1:1" ht="13" x14ac:dyDescent="0.15">
      <c r="A635" s="10"/>
    </row>
    <row r="636" spans="1:1" ht="13" x14ac:dyDescent="0.15">
      <c r="A636" s="10"/>
    </row>
    <row r="637" spans="1:1" ht="13" x14ac:dyDescent="0.15">
      <c r="A637" s="10"/>
    </row>
    <row r="638" spans="1:1" ht="13" x14ac:dyDescent="0.15">
      <c r="A638" s="10"/>
    </row>
    <row r="639" spans="1:1" ht="13" x14ac:dyDescent="0.15">
      <c r="A639" s="10"/>
    </row>
    <row r="640" spans="1:1" ht="13" x14ac:dyDescent="0.15">
      <c r="A640" s="10"/>
    </row>
    <row r="641" spans="1:1" ht="13" x14ac:dyDescent="0.15">
      <c r="A641" s="10"/>
    </row>
    <row r="642" spans="1:1" ht="13" x14ac:dyDescent="0.15">
      <c r="A642" s="10"/>
    </row>
    <row r="643" spans="1:1" ht="13" x14ac:dyDescent="0.15">
      <c r="A643" s="10"/>
    </row>
    <row r="644" spans="1:1" ht="13" x14ac:dyDescent="0.15">
      <c r="A644" s="10"/>
    </row>
    <row r="645" spans="1:1" ht="13" x14ac:dyDescent="0.15">
      <c r="A645" s="10"/>
    </row>
    <row r="646" spans="1:1" ht="13" x14ac:dyDescent="0.15">
      <c r="A646" s="10"/>
    </row>
    <row r="647" spans="1:1" ht="13" x14ac:dyDescent="0.15">
      <c r="A647" s="10"/>
    </row>
    <row r="648" spans="1:1" ht="13" x14ac:dyDescent="0.15">
      <c r="A648" s="10"/>
    </row>
    <row r="649" spans="1:1" ht="13" x14ac:dyDescent="0.15">
      <c r="A649" s="10"/>
    </row>
    <row r="650" spans="1:1" ht="13" x14ac:dyDescent="0.15">
      <c r="A650" s="10"/>
    </row>
    <row r="651" spans="1:1" ht="13" x14ac:dyDescent="0.15">
      <c r="A651" s="10"/>
    </row>
    <row r="652" spans="1:1" ht="13" x14ac:dyDescent="0.15">
      <c r="A652" s="10"/>
    </row>
    <row r="653" spans="1:1" ht="13" x14ac:dyDescent="0.15">
      <c r="A653" s="10"/>
    </row>
    <row r="654" spans="1:1" ht="13" x14ac:dyDescent="0.15">
      <c r="A654" s="10"/>
    </row>
    <row r="655" spans="1:1" ht="13" x14ac:dyDescent="0.15">
      <c r="A655" s="10"/>
    </row>
    <row r="656" spans="1:1" ht="13" x14ac:dyDescent="0.15">
      <c r="A656" s="10"/>
    </row>
    <row r="657" spans="1:1" ht="13" x14ac:dyDescent="0.15">
      <c r="A657" s="10"/>
    </row>
    <row r="658" spans="1:1" ht="13" x14ac:dyDescent="0.15">
      <c r="A658" s="10"/>
    </row>
    <row r="659" spans="1:1" ht="13" x14ac:dyDescent="0.15">
      <c r="A659" s="10"/>
    </row>
    <row r="660" spans="1:1" ht="13" x14ac:dyDescent="0.15">
      <c r="A660" s="10"/>
    </row>
    <row r="661" spans="1:1" ht="13" x14ac:dyDescent="0.15">
      <c r="A661" s="10"/>
    </row>
    <row r="662" spans="1:1" ht="13" x14ac:dyDescent="0.15">
      <c r="A662" s="10"/>
    </row>
    <row r="663" spans="1:1" ht="13" x14ac:dyDescent="0.15">
      <c r="A663" s="10"/>
    </row>
    <row r="664" spans="1:1" ht="13" x14ac:dyDescent="0.15">
      <c r="A664" s="10"/>
    </row>
    <row r="665" spans="1:1" ht="13" x14ac:dyDescent="0.15">
      <c r="A665" s="10"/>
    </row>
    <row r="666" spans="1:1" ht="13" x14ac:dyDescent="0.15">
      <c r="A666" s="10"/>
    </row>
    <row r="667" spans="1:1" ht="13" x14ac:dyDescent="0.15">
      <c r="A667" s="10"/>
    </row>
    <row r="668" spans="1:1" ht="13" x14ac:dyDescent="0.15">
      <c r="A668" s="10"/>
    </row>
    <row r="669" spans="1:1" ht="13" x14ac:dyDescent="0.15">
      <c r="A669" s="10"/>
    </row>
    <row r="670" spans="1:1" ht="13" x14ac:dyDescent="0.15">
      <c r="A670" s="10"/>
    </row>
    <row r="671" spans="1:1" ht="13" x14ac:dyDescent="0.15">
      <c r="A671" s="10"/>
    </row>
    <row r="672" spans="1:1" ht="13" x14ac:dyDescent="0.15">
      <c r="A672" s="10"/>
    </row>
    <row r="673" spans="1:1" ht="13" x14ac:dyDescent="0.15">
      <c r="A673" s="10"/>
    </row>
    <row r="674" spans="1:1" ht="13" x14ac:dyDescent="0.15">
      <c r="A674" s="10"/>
    </row>
    <row r="675" spans="1:1" ht="13" x14ac:dyDescent="0.15">
      <c r="A675" s="10"/>
    </row>
    <row r="676" spans="1:1" ht="13" x14ac:dyDescent="0.15">
      <c r="A676" s="10"/>
    </row>
    <row r="677" spans="1:1" ht="13" x14ac:dyDescent="0.15">
      <c r="A677" s="10"/>
    </row>
    <row r="678" spans="1:1" ht="13" x14ac:dyDescent="0.15">
      <c r="A678" s="10"/>
    </row>
    <row r="679" spans="1:1" ht="13" x14ac:dyDescent="0.15">
      <c r="A679" s="10"/>
    </row>
    <row r="680" spans="1:1" ht="13" x14ac:dyDescent="0.15">
      <c r="A680" s="10"/>
    </row>
    <row r="681" spans="1:1" ht="13" x14ac:dyDescent="0.15">
      <c r="A681" s="10"/>
    </row>
    <row r="682" spans="1:1" ht="13" x14ac:dyDescent="0.15">
      <c r="A682" s="10"/>
    </row>
    <row r="683" spans="1:1" ht="13" x14ac:dyDescent="0.15">
      <c r="A683" s="10"/>
    </row>
    <row r="684" spans="1:1" ht="13" x14ac:dyDescent="0.15">
      <c r="A684" s="10"/>
    </row>
    <row r="685" spans="1:1" ht="13" x14ac:dyDescent="0.15">
      <c r="A685" s="10"/>
    </row>
    <row r="686" spans="1:1" ht="13" x14ac:dyDescent="0.15">
      <c r="A686" s="10"/>
    </row>
    <row r="687" spans="1:1" ht="13" x14ac:dyDescent="0.15">
      <c r="A687" s="10"/>
    </row>
    <row r="688" spans="1:1" ht="13" x14ac:dyDescent="0.15">
      <c r="A688" s="10"/>
    </row>
    <row r="689" spans="1:1" ht="13" x14ac:dyDescent="0.15">
      <c r="A689" s="10"/>
    </row>
    <row r="690" spans="1:1" ht="13" x14ac:dyDescent="0.15">
      <c r="A690" s="10"/>
    </row>
    <row r="691" spans="1:1" ht="13" x14ac:dyDescent="0.15">
      <c r="A691" s="10"/>
    </row>
    <row r="692" spans="1:1" ht="13" x14ac:dyDescent="0.15">
      <c r="A692" s="10"/>
    </row>
    <row r="693" spans="1:1" ht="13" x14ac:dyDescent="0.15">
      <c r="A693" s="10"/>
    </row>
    <row r="694" spans="1:1" ht="13" x14ac:dyDescent="0.15">
      <c r="A694" s="10"/>
    </row>
    <row r="695" spans="1:1" ht="13" x14ac:dyDescent="0.15">
      <c r="A695" s="10"/>
    </row>
    <row r="696" spans="1:1" ht="13" x14ac:dyDescent="0.15">
      <c r="A696" s="10"/>
    </row>
    <row r="697" spans="1:1" ht="13" x14ac:dyDescent="0.15">
      <c r="A697" s="10"/>
    </row>
    <row r="698" spans="1:1" ht="13" x14ac:dyDescent="0.15">
      <c r="A698" s="10"/>
    </row>
    <row r="699" spans="1:1" ht="13" x14ac:dyDescent="0.15">
      <c r="A699" s="10"/>
    </row>
    <row r="700" spans="1:1" ht="13" x14ac:dyDescent="0.15">
      <c r="A700" s="10"/>
    </row>
    <row r="701" spans="1:1" ht="13" x14ac:dyDescent="0.15">
      <c r="A701" s="10"/>
    </row>
    <row r="702" spans="1:1" ht="13" x14ac:dyDescent="0.15">
      <c r="A702" s="10"/>
    </row>
    <row r="703" spans="1:1" ht="13" x14ac:dyDescent="0.15">
      <c r="A703" s="10"/>
    </row>
    <row r="704" spans="1:1" ht="13" x14ac:dyDescent="0.15">
      <c r="A704" s="10"/>
    </row>
    <row r="705" spans="1:1" ht="13" x14ac:dyDescent="0.15">
      <c r="A705" s="10"/>
    </row>
    <row r="706" spans="1:1" ht="13" x14ac:dyDescent="0.15">
      <c r="A706" s="10"/>
    </row>
    <row r="707" spans="1:1" ht="13" x14ac:dyDescent="0.15">
      <c r="A707" s="10"/>
    </row>
    <row r="708" spans="1:1" ht="13" x14ac:dyDescent="0.15">
      <c r="A708" s="10"/>
    </row>
    <row r="709" spans="1:1" ht="13" x14ac:dyDescent="0.15">
      <c r="A709" s="10"/>
    </row>
    <row r="710" spans="1:1" ht="13" x14ac:dyDescent="0.15">
      <c r="A710" s="10"/>
    </row>
    <row r="711" spans="1:1" ht="13" x14ac:dyDescent="0.15">
      <c r="A711" s="10"/>
    </row>
    <row r="712" spans="1:1" ht="13" x14ac:dyDescent="0.15">
      <c r="A712" s="10"/>
    </row>
    <row r="713" spans="1:1" ht="13" x14ac:dyDescent="0.15">
      <c r="A713" s="10"/>
    </row>
    <row r="714" spans="1:1" ht="13" x14ac:dyDescent="0.15">
      <c r="A714" s="10"/>
    </row>
    <row r="715" spans="1:1" ht="13" x14ac:dyDescent="0.15">
      <c r="A715" s="10"/>
    </row>
    <row r="716" spans="1:1" ht="13" x14ac:dyDescent="0.15">
      <c r="A716" s="10"/>
    </row>
    <row r="717" spans="1:1" ht="13" x14ac:dyDescent="0.15">
      <c r="A717" s="10"/>
    </row>
    <row r="718" spans="1:1" ht="13" x14ac:dyDescent="0.15">
      <c r="A718" s="10"/>
    </row>
    <row r="719" spans="1:1" ht="13" x14ac:dyDescent="0.15">
      <c r="A719" s="10"/>
    </row>
    <row r="720" spans="1:1" ht="13" x14ac:dyDescent="0.15">
      <c r="A720" s="10"/>
    </row>
    <row r="721" spans="1:1" ht="13" x14ac:dyDescent="0.15">
      <c r="A721" s="10"/>
    </row>
    <row r="722" spans="1:1" ht="13" x14ac:dyDescent="0.15">
      <c r="A722" s="10"/>
    </row>
    <row r="723" spans="1:1" ht="13" x14ac:dyDescent="0.15">
      <c r="A723" s="10"/>
    </row>
    <row r="724" spans="1:1" ht="13" x14ac:dyDescent="0.15">
      <c r="A724" s="10"/>
    </row>
    <row r="725" spans="1:1" ht="13" x14ac:dyDescent="0.15">
      <c r="A725" s="10"/>
    </row>
    <row r="726" spans="1:1" ht="13" x14ac:dyDescent="0.15">
      <c r="A726" s="10"/>
    </row>
    <row r="727" spans="1:1" ht="13" x14ac:dyDescent="0.15">
      <c r="A727" s="10"/>
    </row>
    <row r="728" spans="1:1" ht="13" x14ac:dyDescent="0.15">
      <c r="A728" s="10"/>
    </row>
    <row r="729" spans="1:1" ht="13" x14ac:dyDescent="0.15">
      <c r="A729" s="10"/>
    </row>
    <row r="730" spans="1:1" ht="13" x14ac:dyDescent="0.15">
      <c r="A730" s="10"/>
    </row>
    <row r="731" spans="1:1" ht="13" x14ac:dyDescent="0.15">
      <c r="A731" s="10"/>
    </row>
    <row r="732" spans="1:1" ht="13" x14ac:dyDescent="0.15">
      <c r="A732" s="10"/>
    </row>
    <row r="733" spans="1:1" ht="13" x14ac:dyDescent="0.15">
      <c r="A733" s="10"/>
    </row>
    <row r="734" spans="1:1" ht="13" x14ac:dyDescent="0.15">
      <c r="A734" s="10"/>
    </row>
    <row r="735" spans="1:1" ht="13" x14ac:dyDescent="0.15">
      <c r="A735" s="10"/>
    </row>
    <row r="736" spans="1:1" ht="13" x14ac:dyDescent="0.15">
      <c r="A736" s="10"/>
    </row>
    <row r="737" spans="1:1" ht="13" x14ac:dyDescent="0.15">
      <c r="A737" s="10"/>
    </row>
    <row r="738" spans="1:1" ht="13" x14ac:dyDescent="0.15">
      <c r="A738" s="10"/>
    </row>
    <row r="739" spans="1:1" ht="13" x14ac:dyDescent="0.15">
      <c r="A739" s="10"/>
    </row>
    <row r="740" spans="1:1" ht="13" x14ac:dyDescent="0.15">
      <c r="A740" s="10"/>
    </row>
    <row r="741" spans="1:1" ht="13" x14ac:dyDescent="0.15">
      <c r="A741" s="10"/>
    </row>
    <row r="742" spans="1:1" ht="13" x14ac:dyDescent="0.15">
      <c r="A742" s="10"/>
    </row>
    <row r="743" spans="1:1" ht="13" x14ac:dyDescent="0.15">
      <c r="A743" s="10"/>
    </row>
    <row r="744" spans="1:1" ht="13" x14ac:dyDescent="0.15">
      <c r="A744" s="10"/>
    </row>
    <row r="745" spans="1:1" ht="13" x14ac:dyDescent="0.15">
      <c r="A745" s="10"/>
    </row>
    <row r="746" spans="1:1" ht="13" x14ac:dyDescent="0.15">
      <c r="A746" s="10"/>
    </row>
    <row r="747" spans="1:1" ht="13" x14ac:dyDescent="0.15">
      <c r="A747" s="10"/>
    </row>
    <row r="748" spans="1:1" ht="13" x14ac:dyDescent="0.15">
      <c r="A748" s="10"/>
    </row>
    <row r="749" spans="1:1" ht="13" x14ac:dyDescent="0.15">
      <c r="A749" s="10"/>
    </row>
    <row r="750" spans="1:1" ht="13" x14ac:dyDescent="0.15">
      <c r="A750" s="10"/>
    </row>
    <row r="751" spans="1:1" ht="13" x14ac:dyDescent="0.15">
      <c r="A751" s="10"/>
    </row>
    <row r="752" spans="1:1" ht="13" x14ac:dyDescent="0.15">
      <c r="A752" s="10"/>
    </row>
    <row r="753" spans="1:1" ht="13" x14ac:dyDescent="0.15">
      <c r="A753" s="10"/>
    </row>
    <row r="754" spans="1:1" ht="13" x14ac:dyDescent="0.15">
      <c r="A754" s="10"/>
    </row>
    <row r="755" spans="1:1" ht="13" x14ac:dyDescent="0.15">
      <c r="A755" s="10"/>
    </row>
    <row r="756" spans="1:1" ht="13" x14ac:dyDescent="0.15">
      <c r="A756" s="10"/>
    </row>
    <row r="757" spans="1:1" ht="13" x14ac:dyDescent="0.15">
      <c r="A757" s="10"/>
    </row>
    <row r="758" spans="1:1" ht="13" x14ac:dyDescent="0.15">
      <c r="A758" s="10"/>
    </row>
    <row r="759" spans="1:1" ht="13" x14ac:dyDescent="0.15">
      <c r="A759" s="10"/>
    </row>
    <row r="760" spans="1:1" ht="13" x14ac:dyDescent="0.15">
      <c r="A760" s="10"/>
    </row>
    <row r="761" spans="1:1" ht="13" x14ac:dyDescent="0.15">
      <c r="A761" s="10"/>
    </row>
    <row r="762" spans="1:1" ht="13" x14ac:dyDescent="0.15">
      <c r="A762" s="10"/>
    </row>
    <row r="763" spans="1:1" ht="13" x14ac:dyDescent="0.15">
      <c r="A763" s="10"/>
    </row>
    <row r="764" spans="1:1" ht="13" x14ac:dyDescent="0.15">
      <c r="A764" s="10"/>
    </row>
    <row r="765" spans="1:1" ht="13" x14ac:dyDescent="0.15">
      <c r="A765" s="10"/>
    </row>
    <row r="766" spans="1:1" ht="13" x14ac:dyDescent="0.15">
      <c r="A766" s="10"/>
    </row>
    <row r="767" spans="1:1" ht="13" x14ac:dyDescent="0.15">
      <c r="A767" s="10"/>
    </row>
    <row r="768" spans="1:1" ht="13" x14ac:dyDescent="0.15">
      <c r="A768" s="10"/>
    </row>
    <row r="769" spans="1:1" ht="13" x14ac:dyDescent="0.15">
      <c r="A769" s="10"/>
    </row>
    <row r="770" spans="1:1" ht="13" x14ac:dyDescent="0.15">
      <c r="A770" s="10"/>
    </row>
    <row r="771" spans="1:1" ht="13" x14ac:dyDescent="0.15">
      <c r="A771" s="10"/>
    </row>
    <row r="772" spans="1:1" ht="13" x14ac:dyDescent="0.15">
      <c r="A772" s="10"/>
    </row>
    <row r="773" spans="1:1" ht="13" x14ac:dyDescent="0.15">
      <c r="A773" s="10"/>
    </row>
    <row r="774" spans="1:1" ht="13" x14ac:dyDescent="0.15">
      <c r="A774" s="10"/>
    </row>
    <row r="775" spans="1:1" ht="13" x14ac:dyDescent="0.15">
      <c r="A775" s="10"/>
    </row>
    <row r="776" spans="1:1" ht="13" x14ac:dyDescent="0.15">
      <c r="A776" s="10"/>
    </row>
    <row r="777" spans="1:1" ht="13" x14ac:dyDescent="0.15">
      <c r="A777" s="10"/>
    </row>
    <row r="778" spans="1:1" ht="13" x14ac:dyDescent="0.15">
      <c r="A778" s="10"/>
    </row>
    <row r="779" spans="1:1" ht="13" x14ac:dyDescent="0.15">
      <c r="A779" s="10"/>
    </row>
    <row r="780" spans="1:1" ht="13" x14ac:dyDescent="0.15">
      <c r="A780" s="10"/>
    </row>
    <row r="781" spans="1:1" ht="13" x14ac:dyDescent="0.15">
      <c r="A781" s="10"/>
    </row>
    <row r="782" spans="1:1" ht="13" x14ac:dyDescent="0.15">
      <c r="A782" s="10"/>
    </row>
    <row r="783" spans="1:1" ht="13" x14ac:dyDescent="0.15">
      <c r="A783" s="10"/>
    </row>
    <row r="784" spans="1:1" ht="13" x14ac:dyDescent="0.15">
      <c r="A784" s="10"/>
    </row>
    <row r="785" spans="1:1" ht="13" x14ac:dyDescent="0.15">
      <c r="A785" s="10"/>
    </row>
    <row r="786" spans="1:1" ht="13" x14ac:dyDescent="0.15">
      <c r="A786" s="10"/>
    </row>
    <row r="787" spans="1:1" ht="13" x14ac:dyDescent="0.15">
      <c r="A787" s="10"/>
    </row>
    <row r="788" spans="1:1" ht="13" x14ac:dyDescent="0.15">
      <c r="A788" s="10"/>
    </row>
    <row r="789" spans="1:1" ht="13" x14ac:dyDescent="0.15">
      <c r="A789" s="10"/>
    </row>
    <row r="790" spans="1:1" ht="13" x14ac:dyDescent="0.15">
      <c r="A790" s="10"/>
    </row>
    <row r="791" spans="1:1" ht="13" x14ac:dyDescent="0.15">
      <c r="A791" s="10"/>
    </row>
    <row r="792" spans="1:1" ht="13" x14ac:dyDescent="0.15">
      <c r="A792" s="10"/>
    </row>
    <row r="793" spans="1:1" ht="13" x14ac:dyDescent="0.15">
      <c r="A793" s="10"/>
    </row>
    <row r="794" spans="1:1" ht="13" x14ac:dyDescent="0.15">
      <c r="A794" s="10"/>
    </row>
    <row r="795" spans="1:1" ht="13" x14ac:dyDescent="0.15">
      <c r="A795" s="10"/>
    </row>
    <row r="796" spans="1:1" ht="13" x14ac:dyDescent="0.15">
      <c r="A796" s="10"/>
    </row>
    <row r="797" spans="1:1" ht="13" x14ac:dyDescent="0.15">
      <c r="A797" s="10"/>
    </row>
    <row r="798" spans="1:1" ht="13" x14ac:dyDescent="0.15">
      <c r="A798" s="10"/>
    </row>
    <row r="799" spans="1:1" ht="13" x14ac:dyDescent="0.15">
      <c r="A799" s="10"/>
    </row>
    <row r="800" spans="1:1" ht="13" x14ac:dyDescent="0.15">
      <c r="A800" s="10"/>
    </row>
    <row r="801" spans="1:1" ht="13" x14ac:dyDescent="0.15">
      <c r="A801" s="10"/>
    </row>
    <row r="802" spans="1:1" ht="13" x14ac:dyDescent="0.15">
      <c r="A802" s="10"/>
    </row>
    <row r="803" spans="1:1" ht="13" x14ac:dyDescent="0.15">
      <c r="A803" s="10"/>
    </row>
    <row r="804" spans="1:1" ht="13" x14ac:dyDescent="0.15">
      <c r="A804" s="10"/>
    </row>
    <row r="805" spans="1:1" ht="13" x14ac:dyDescent="0.15">
      <c r="A805" s="10"/>
    </row>
    <row r="806" spans="1:1" ht="13" x14ac:dyDescent="0.15">
      <c r="A806" s="10"/>
    </row>
    <row r="807" spans="1:1" ht="13" x14ac:dyDescent="0.15">
      <c r="A807" s="10"/>
    </row>
    <row r="808" spans="1:1" ht="13" x14ac:dyDescent="0.15">
      <c r="A808" s="10"/>
    </row>
    <row r="809" spans="1:1" ht="13" x14ac:dyDescent="0.15">
      <c r="A809" s="10"/>
    </row>
    <row r="810" spans="1:1" ht="13" x14ac:dyDescent="0.15">
      <c r="A810" s="10"/>
    </row>
    <row r="811" spans="1:1" ht="13" x14ac:dyDescent="0.15">
      <c r="A811" s="10"/>
    </row>
    <row r="812" spans="1:1" ht="13" x14ac:dyDescent="0.15">
      <c r="A812" s="10"/>
    </row>
    <row r="813" spans="1:1" ht="13" x14ac:dyDescent="0.15">
      <c r="A813" s="10"/>
    </row>
    <row r="814" spans="1:1" ht="13" x14ac:dyDescent="0.15">
      <c r="A814" s="10"/>
    </row>
    <row r="815" spans="1:1" ht="13" x14ac:dyDescent="0.15">
      <c r="A815" s="10"/>
    </row>
    <row r="816" spans="1:1" ht="13" x14ac:dyDescent="0.15">
      <c r="A816" s="10"/>
    </row>
    <row r="817" spans="1:1" ht="13" x14ac:dyDescent="0.15">
      <c r="A817" s="10"/>
    </row>
    <row r="818" spans="1:1" ht="13" x14ac:dyDescent="0.15">
      <c r="A818" s="10"/>
    </row>
    <row r="819" spans="1:1" ht="13" x14ac:dyDescent="0.15">
      <c r="A819" s="10"/>
    </row>
    <row r="820" spans="1:1" ht="13" x14ac:dyDescent="0.15">
      <c r="A820" s="10"/>
    </row>
    <row r="821" spans="1:1" ht="13" x14ac:dyDescent="0.15">
      <c r="A821" s="10"/>
    </row>
    <row r="822" spans="1:1" ht="13" x14ac:dyDescent="0.15">
      <c r="A822" s="10"/>
    </row>
    <row r="823" spans="1:1" ht="13" x14ac:dyDescent="0.15">
      <c r="A823" s="10"/>
    </row>
    <row r="824" spans="1:1" ht="13" x14ac:dyDescent="0.15">
      <c r="A824" s="10"/>
    </row>
    <row r="825" spans="1:1" ht="13" x14ac:dyDescent="0.15">
      <c r="A825" s="10"/>
    </row>
    <row r="826" spans="1:1" ht="13" x14ac:dyDescent="0.15">
      <c r="A826" s="10"/>
    </row>
    <row r="827" spans="1:1" ht="13" x14ac:dyDescent="0.15">
      <c r="A827" s="10"/>
    </row>
    <row r="828" spans="1:1" ht="13" x14ac:dyDescent="0.15">
      <c r="A828" s="10"/>
    </row>
    <row r="829" spans="1:1" ht="13" x14ac:dyDescent="0.15">
      <c r="A829" s="10"/>
    </row>
    <row r="830" spans="1:1" ht="13" x14ac:dyDescent="0.15">
      <c r="A830" s="10"/>
    </row>
    <row r="831" spans="1:1" ht="13" x14ac:dyDescent="0.15">
      <c r="A831" s="10"/>
    </row>
    <row r="832" spans="1:1" ht="13" x14ac:dyDescent="0.15">
      <c r="A832" s="10"/>
    </row>
    <row r="833" spans="1:1" ht="13" x14ac:dyDescent="0.15">
      <c r="A833" s="10"/>
    </row>
    <row r="834" spans="1:1" ht="13" x14ac:dyDescent="0.15">
      <c r="A834" s="10"/>
    </row>
    <row r="835" spans="1:1" ht="13" x14ac:dyDescent="0.15">
      <c r="A835" s="10"/>
    </row>
    <row r="836" spans="1:1" ht="13" x14ac:dyDescent="0.15">
      <c r="A836" s="10"/>
    </row>
    <row r="837" spans="1:1" ht="13" x14ac:dyDescent="0.15">
      <c r="A837" s="10"/>
    </row>
    <row r="838" spans="1:1" ht="13" x14ac:dyDescent="0.15">
      <c r="A838" s="10"/>
    </row>
    <row r="839" spans="1:1" ht="13" x14ac:dyDescent="0.15">
      <c r="A839" s="10"/>
    </row>
    <row r="840" spans="1:1" ht="13" x14ac:dyDescent="0.15">
      <c r="A840" s="10"/>
    </row>
    <row r="841" spans="1:1" ht="13" x14ac:dyDescent="0.15">
      <c r="A841" s="10"/>
    </row>
    <row r="842" spans="1:1" ht="13" x14ac:dyDescent="0.15">
      <c r="A842" s="10"/>
    </row>
    <row r="843" spans="1:1" ht="13" x14ac:dyDescent="0.15">
      <c r="A843" s="10"/>
    </row>
    <row r="844" spans="1:1" ht="13" x14ac:dyDescent="0.15">
      <c r="A844" s="10"/>
    </row>
    <row r="845" spans="1:1" ht="13" x14ac:dyDescent="0.15">
      <c r="A845" s="10"/>
    </row>
    <row r="846" spans="1:1" ht="13" x14ac:dyDescent="0.15">
      <c r="A846" s="10"/>
    </row>
    <row r="847" spans="1:1" ht="13" x14ac:dyDescent="0.15">
      <c r="A847" s="10"/>
    </row>
    <row r="848" spans="1:1" ht="13" x14ac:dyDescent="0.15">
      <c r="A848" s="10"/>
    </row>
    <row r="849" spans="1:1" ht="13" x14ac:dyDescent="0.15">
      <c r="A849" s="10"/>
    </row>
    <row r="850" spans="1:1" ht="13" x14ac:dyDescent="0.15">
      <c r="A850" s="10"/>
    </row>
    <row r="851" spans="1:1" ht="13" x14ac:dyDescent="0.15">
      <c r="A851" s="10"/>
    </row>
    <row r="852" spans="1:1" ht="13" x14ac:dyDescent="0.15">
      <c r="A852" s="10"/>
    </row>
    <row r="853" spans="1:1" ht="13" x14ac:dyDescent="0.15">
      <c r="A853" s="10"/>
    </row>
    <row r="854" spans="1:1" ht="13" x14ac:dyDescent="0.15">
      <c r="A854" s="10"/>
    </row>
    <row r="855" spans="1:1" ht="13" x14ac:dyDescent="0.15">
      <c r="A855" s="10"/>
    </row>
    <row r="856" spans="1:1" ht="13" x14ac:dyDescent="0.15">
      <c r="A856" s="10"/>
    </row>
    <row r="857" spans="1:1" ht="13" x14ac:dyDescent="0.15">
      <c r="A857" s="10"/>
    </row>
    <row r="858" spans="1:1" ht="13" x14ac:dyDescent="0.15">
      <c r="A858" s="10"/>
    </row>
    <row r="859" spans="1:1" ht="13" x14ac:dyDescent="0.15">
      <c r="A859" s="10"/>
    </row>
    <row r="860" spans="1:1" ht="13" x14ac:dyDescent="0.15">
      <c r="A860" s="10"/>
    </row>
    <row r="861" spans="1:1" ht="13" x14ac:dyDescent="0.15">
      <c r="A861" s="10"/>
    </row>
    <row r="862" spans="1:1" ht="13" x14ac:dyDescent="0.15">
      <c r="A862" s="10"/>
    </row>
    <row r="863" spans="1:1" ht="13" x14ac:dyDescent="0.15">
      <c r="A863" s="10"/>
    </row>
    <row r="864" spans="1:1" ht="13" x14ac:dyDescent="0.15">
      <c r="A864" s="10"/>
    </row>
    <row r="865" spans="1:1" ht="13" x14ac:dyDescent="0.15">
      <c r="A865" s="10"/>
    </row>
    <row r="866" spans="1:1" ht="13" x14ac:dyDescent="0.15">
      <c r="A866" s="10"/>
    </row>
    <row r="867" spans="1:1" ht="13" x14ac:dyDescent="0.15">
      <c r="A867" s="10"/>
    </row>
    <row r="868" spans="1:1" ht="13" x14ac:dyDescent="0.15">
      <c r="A868" s="10"/>
    </row>
    <row r="869" spans="1:1" ht="13" x14ac:dyDescent="0.15">
      <c r="A869" s="10"/>
    </row>
    <row r="870" spans="1:1" ht="13" x14ac:dyDescent="0.15">
      <c r="A870" s="10"/>
    </row>
    <row r="871" spans="1:1" ht="13" x14ac:dyDescent="0.15">
      <c r="A871" s="10"/>
    </row>
    <row r="872" spans="1:1" ht="13" x14ac:dyDescent="0.15">
      <c r="A872" s="10"/>
    </row>
    <row r="873" spans="1:1" ht="13" x14ac:dyDescent="0.15">
      <c r="A873" s="10"/>
    </row>
    <row r="874" spans="1:1" ht="13" x14ac:dyDescent="0.15">
      <c r="A874" s="10"/>
    </row>
    <row r="875" spans="1:1" ht="13" x14ac:dyDescent="0.15">
      <c r="A875" s="10"/>
    </row>
    <row r="876" spans="1:1" ht="13" x14ac:dyDescent="0.15">
      <c r="A876" s="10"/>
    </row>
    <row r="877" spans="1:1" ht="13" x14ac:dyDescent="0.15">
      <c r="A877" s="10"/>
    </row>
    <row r="878" spans="1:1" ht="13" x14ac:dyDescent="0.15">
      <c r="A878" s="10"/>
    </row>
    <row r="879" spans="1:1" ht="13" x14ac:dyDescent="0.15">
      <c r="A879" s="10"/>
    </row>
    <row r="880" spans="1:1" ht="13" x14ac:dyDescent="0.15">
      <c r="A880" s="10"/>
    </row>
    <row r="881" spans="1:1" ht="13" x14ac:dyDescent="0.15">
      <c r="A881" s="10"/>
    </row>
    <row r="882" spans="1:1" ht="13" x14ac:dyDescent="0.15">
      <c r="A882" s="10"/>
    </row>
    <row r="883" spans="1:1" ht="13" x14ac:dyDescent="0.15">
      <c r="A883" s="10"/>
    </row>
    <row r="884" spans="1:1" ht="13" x14ac:dyDescent="0.15">
      <c r="A884" s="10"/>
    </row>
    <row r="885" spans="1:1" ht="13" x14ac:dyDescent="0.15">
      <c r="A885" s="10"/>
    </row>
    <row r="886" spans="1:1" ht="13" x14ac:dyDescent="0.15">
      <c r="A886" s="10"/>
    </row>
    <row r="887" spans="1:1" ht="13" x14ac:dyDescent="0.15">
      <c r="A887" s="10"/>
    </row>
    <row r="888" spans="1:1" ht="13" x14ac:dyDescent="0.15">
      <c r="A888" s="10"/>
    </row>
    <row r="889" spans="1:1" ht="13" x14ac:dyDescent="0.15">
      <c r="A889" s="10"/>
    </row>
    <row r="890" spans="1:1" ht="13" x14ac:dyDescent="0.15">
      <c r="A890" s="10"/>
    </row>
    <row r="891" spans="1:1" ht="13" x14ac:dyDescent="0.15">
      <c r="A891" s="10"/>
    </row>
    <row r="892" spans="1:1" ht="13" x14ac:dyDescent="0.15">
      <c r="A892" s="10"/>
    </row>
    <row r="893" spans="1:1" ht="13" x14ac:dyDescent="0.15">
      <c r="A893" s="10"/>
    </row>
    <row r="894" spans="1:1" ht="13" x14ac:dyDescent="0.15">
      <c r="A894" s="10"/>
    </row>
    <row r="895" spans="1:1" ht="13" x14ac:dyDescent="0.15">
      <c r="A895" s="10"/>
    </row>
    <row r="896" spans="1:1" ht="13" x14ac:dyDescent="0.15">
      <c r="A896" s="10"/>
    </row>
    <row r="897" spans="1:1" ht="13" x14ac:dyDescent="0.15">
      <c r="A897" s="10"/>
    </row>
    <row r="898" spans="1:1" ht="13" x14ac:dyDescent="0.15">
      <c r="A898" s="10"/>
    </row>
    <row r="899" spans="1:1" ht="13" x14ac:dyDescent="0.15">
      <c r="A899" s="10"/>
    </row>
    <row r="900" spans="1:1" ht="13" x14ac:dyDescent="0.15">
      <c r="A900" s="10"/>
    </row>
    <row r="901" spans="1:1" ht="13" x14ac:dyDescent="0.15">
      <c r="A901" s="10"/>
    </row>
    <row r="902" spans="1:1" ht="13" x14ac:dyDescent="0.15">
      <c r="A902" s="10"/>
    </row>
    <row r="903" spans="1:1" ht="13" x14ac:dyDescent="0.15">
      <c r="A903" s="10"/>
    </row>
    <row r="904" spans="1:1" ht="13" x14ac:dyDescent="0.15">
      <c r="A904" s="10"/>
    </row>
    <row r="905" spans="1:1" ht="13" x14ac:dyDescent="0.15">
      <c r="A905" s="10"/>
    </row>
    <row r="906" spans="1:1" ht="13" x14ac:dyDescent="0.15">
      <c r="A906" s="10"/>
    </row>
    <row r="907" spans="1:1" ht="13" x14ac:dyDescent="0.15">
      <c r="A907" s="10"/>
    </row>
    <row r="908" spans="1:1" ht="13" x14ac:dyDescent="0.15">
      <c r="A908" s="10"/>
    </row>
    <row r="909" spans="1:1" ht="13" x14ac:dyDescent="0.15">
      <c r="A909" s="10"/>
    </row>
    <row r="910" spans="1:1" ht="13" x14ac:dyDescent="0.15">
      <c r="A910" s="10"/>
    </row>
    <row r="911" spans="1:1" ht="13" x14ac:dyDescent="0.15">
      <c r="A911" s="10"/>
    </row>
    <row r="912" spans="1:1" ht="13" x14ac:dyDescent="0.15">
      <c r="A912" s="10"/>
    </row>
    <row r="913" spans="1:1" ht="13" x14ac:dyDescent="0.15">
      <c r="A913" s="10"/>
    </row>
    <row r="914" spans="1:1" ht="13" x14ac:dyDescent="0.15">
      <c r="A914" s="10"/>
    </row>
    <row r="915" spans="1:1" ht="13" x14ac:dyDescent="0.15">
      <c r="A915" s="10"/>
    </row>
    <row r="916" spans="1:1" ht="13" x14ac:dyDescent="0.15">
      <c r="A916" s="10"/>
    </row>
    <row r="917" spans="1:1" ht="13" x14ac:dyDescent="0.15">
      <c r="A917" s="10"/>
    </row>
    <row r="918" spans="1:1" ht="13" x14ac:dyDescent="0.15">
      <c r="A918" s="10"/>
    </row>
    <row r="919" spans="1:1" ht="13" x14ac:dyDescent="0.15">
      <c r="A919" s="10"/>
    </row>
    <row r="920" spans="1:1" ht="13" x14ac:dyDescent="0.15">
      <c r="A920" s="10"/>
    </row>
    <row r="921" spans="1:1" ht="13" x14ac:dyDescent="0.15">
      <c r="A921" s="10"/>
    </row>
    <row r="922" spans="1:1" ht="13" x14ac:dyDescent="0.15">
      <c r="A922" s="10"/>
    </row>
    <row r="923" spans="1:1" ht="13" x14ac:dyDescent="0.15">
      <c r="A923" s="10"/>
    </row>
    <row r="924" spans="1:1" ht="13" x14ac:dyDescent="0.15">
      <c r="A924" s="10"/>
    </row>
    <row r="925" spans="1:1" ht="13" x14ac:dyDescent="0.15">
      <c r="A925" s="10"/>
    </row>
    <row r="926" spans="1:1" ht="13" x14ac:dyDescent="0.15">
      <c r="A926" s="10"/>
    </row>
    <row r="927" spans="1:1" ht="13" x14ac:dyDescent="0.15">
      <c r="A927" s="10"/>
    </row>
    <row r="928" spans="1:1" ht="13" x14ac:dyDescent="0.15">
      <c r="A928" s="10"/>
    </row>
    <row r="929" spans="1:1" ht="13" x14ac:dyDescent="0.15">
      <c r="A929" s="10"/>
    </row>
    <row r="930" spans="1:1" ht="13" x14ac:dyDescent="0.15">
      <c r="A930" s="10"/>
    </row>
    <row r="931" spans="1:1" ht="13" x14ac:dyDescent="0.15">
      <c r="A931" s="10"/>
    </row>
    <row r="932" spans="1:1" ht="13" x14ac:dyDescent="0.15">
      <c r="A932" s="10"/>
    </row>
    <row r="933" spans="1:1" ht="13" x14ac:dyDescent="0.15">
      <c r="A933" s="10"/>
    </row>
    <row r="934" spans="1:1" ht="13" x14ac:dyDescent="0.15">
      <c r="A934" s="10"/>
    </row>
    <row r="935" spans="1:1" ht="13" x14ac:dyDescent="0.15">
      <c r="A935" s="10"/>
    </row>
    <row r="936" spans="1:1" ht="13" x14ac:dyDescent="0.15">
      <c r="A936" s="10"/>
    </row>
    <row r="937" spans="1:1" ht="13" x14ac:dyDescent="0.15">
      <c r="A937" s="10"/>
    </row>
    <row r="938" spans="1:1" ht="13" x14ac:dyDescent="0.15">
      <c r="A938" s="10"/>
    </row>
    <row r="939" spans="1:1" ht="13" x14ac:dyDescent="0.15">
      <c r="A939" s="10"/>
    </row>
    <row r="940" spans="1:1" ht="13" x14ac:dyDescent="0.15">
      <c r="A940" s="10"/>
    </row>
    <row r="941" spans="1:1" ht="13" x14ac:dyDescent="0.15">
      <c r="A941" s="10"/>
    </row>
    <row r="942" spans="1:1" ht="13" x14ac:dyDescent="0.15">
      <c r="A942" s="10"/>
    </row>
    <row r="943" spans="1:1" ht="13" x14ac:dyDescent="0.15">
      <c r="A943" s="10"/>
    </row>
    <row r="944" spans="1:1" ht="13" x14ac:dyDescent="0.15">
      <c r="A944" s="10"/>
    </row>
    <row r="945" spans="1:1" ht="13" x14ac:dyDescent="0.15">
      <c r="A945" s="10"/>
    </row>
    <row r="946" spans="1:1" ht="13" x14ac:dyDescent="0.15">
      <c r="A946" s="10"/>
    </row>
    <row r="947" spans="1:1" ht="13" x14ac:dyDescent="0.15">
      <c r="A947" s="10"/>
    </row>
    <row r="948" spans="1:1" ht="13" x14ac:dyDescent="0.15">
      <c r="A948" s="10"/>
    </row>
    <row r="949" spans="1:1" ht="13" x14ac:dyDescent="0.15">
      <c r="A949" s="10"/>
    </row>
    <row r="950" spans="1:1" ht="13" x14ac:dyDescent="0.15">
      <c r="A950" s="10"/>
    </row>
    <row r="951" spans="1:1" ht="13" x14ac:dyDescent="0.15">
      <c r="A951" s="10"/>
    </row>
    <row r="952" spans="1:1" ht="13" x14ac:dyDescent="0.15">
      <c r="A952" s="10"/>
    </row>
    <row r="953" spans="1:1" ht="13" x14ac:dyDescent="0.15">
      <c r="A953" s="10"/>
    </row>
    <row r="954" spans="1:1" ht="13" x14ac:dyDescent="0.15">
      <c r="A954" s="10"/>
    </row>
    <row r="955" spans="1:1" ht="13" x14ac:dyDescent="0.15">
      <c r="A955" s="10"/>
    </row>
    <row r="956" spans="1:1" ht="13" x14ac:dyDescent="0.15">
      <c r="A956" s="10"/>
    </row>
    <row r="957" spans="1:1" ht="13" x14ac:dyDescent="0.15">
      <c r="A957" s="10"/>
    </row>
    <row r="958" spans="1:1" ht="13" x14ac:dyDescent="0.15">
      <c r="A958" s="10"/>
    </row>
    <row r="959" spans="1:1" ht="13" x14ac:dyDescent="0.15">
      <c r="A959" s="10"/>
    </row>
    <row r="960" spans="1:1" ht="13" x14ac:dyDescent="0.15">
      <c r="A960" s="10"/>
    </row>
    <row r="961" spans="1:1" ht="13" x14ac:dyDescent="0.15">
      <c r="A961" s="10"/>
    </row>
    <row r="962" spans="1:1" ht="13" x14ac:dyDescent="0.15">
      <c r="A962" s="10"/>
    </row>
    <row r="963" spans="1:1" ht="13" x14ac:dyDescent="0.15">
      <c r="A963" s="10"/>
    </row>
    <row r="964" spans="1:1" ht="13" x14ac:dyDescent="0.15">
      <c r="A964" s="10"/>
    </row>
    <row r="965" spans="1:1" ht="13" x14ac:dyDescent="0.15">
      <c r="A965" s="10"/>
    </row>
    <row r="966" spans="1:1" ht="13" x14ac:dyDescent="0.15">
      <c r="A966" s="10"/>
    </row>
    <row r="967" spans="1:1" ht="13" x14ac:dyDescent="0.15">
      <c r="A967" s="10"/>
    </row>
    <row r="968" spans="1:1" ht="13" x14ac:dyDescent="0.15">
      <c r="A968" s="10"/>
    </row>
    <row r="969" spans="1:1" ht="13" x14ac:dyDescent="0.15">
      <c r="A969" s="10"/>
    </row>
    <row r="970" spans="1:1" ht="13" x14ac:dyDescent="0.15">
      <c r="A970" s="10"/>
    </row>
    <row r="971" spans="1:1" ht="13" x14ac:dyDescent="0.15">
      <c r="A971" s="10"/>
    </row>
    <row r="972" spans="1:1" ht="13" x14ac:dyDescent="0.15">
      <c r="A972" s="10"/>
    </row>
    <row r="973" spans="1:1" ht="13" x14ac:dyDescent="0.15">
      <c r="A973" s="10"/>
    </row>
    <row r="974" spans="1:1" ht="13" x14ac:dyDescent="0.15">
      <c r="A974" s="10"/>
    </row>
    <row r="975" spans="1:1" ht="13" x14ac:dyDescent="0.15">
      <c r="A975" s="10"/>
    </row>
    <row r="976" spans="1:1" ht="13" x14ac:dyDescent="0.15">
      <c r="A976" s="10"/>
    </row>
    <row r="977" spans="1:1" ht="13" x14ac:dyDescent="0.15">
      <c r="A977" s="10"/>
    </row>
    <row r="978" spans="1:1" ht="13" x14ac:dyDescent="0.15">
      <c r="A978" s="10"/>
    </row>
    <row r="979" spans="1:1" ht="13" x14ac:dyDescent="0.15">
      <c r="A979" s="10"/>
    </row>
    <row r="980" spans="1:1" ht="13" x14ac:dyDescent="0.15">
      <c r="A980" s="10"/>
    </row>
    <row r="981" spans="1:1" ht="13" x14ac:dyDescent="0.15">
      <c r="A981" s="10"/>
    </row>
    <row r="982" spans="1:1" ht="13" x14ac:dyDescent="0.15">
      <c r="A982" s="10"/>
    </row>
    <row r="983" spans="1:1" ht="13" x14ac:dyDescent="0.15">
      <c r="A983" s="10"/>
    </row>
    <row r="984" spans="1:1" ht="13" x14ac:dyDescent="0.15">
      <c r="A984" s="10"/>
    </row>
    <row r="985" spans="1:1" ht="13" x14ac:dyDescent="0.15">
      <c r="A985" s="10"/>
    </row>
    <row r="986" spans="1:1" ht="13" x14ac:dyDescent="0.15">
      <c r="A986" s="10"/>
    </row>
    <row r="987" spans="1:1" ht="13" x14ac:dyDescent="0.15">
      <c r="A987" s="10"/>
    </row>
    <row r="988" spans="1:1" ht="13" x14ac:dyDescent="0.15">
      <c r="A988" s="10"/>
    </row>
    <row r="989" spans="1:1" ht="13" x14ac:dyDescent="0.15">
      <c r="A989" s="10"/>
    </row>
    <row r="990" spans="1:1" ht="13" x14ac:dyDescent="0.15">
      <c r="A990" s="10"/>
    </row>
    <row r="991" spans="1:1" ht="13" x14ac:dyDescent="0.15">
      <c r="A991" s="10"/>
    </row>
    <row r="992" spans="1:1" ht="13" x14ac:dyDescent="0.15">
      <c r="A992" s="10"/>
    </row>
    <row r="993" spans="1:1" ht="13" x14ac:dyDescent="0.15">
      <c r="A993" s="10"/>
    </row>
    <row r="994" spans="1:1" ht="13" x14ac:dyDescent="0.15">
      <c r="A994" s="10"/>
    </row>
    <row r="995" spans="1:1" ht="13" x14ac:dyDescent="0.15">
      <c r="A995" s="10"/>
    </row>
    <row r="996" spans="1:1" ht="13" x14ac:dyDescent="0.15">
      <c r="A996" s="10"/>
    </row>
    <row r="997" spans="1:1" ht="13" x14ac:dyDescent="0.15">
      <c r="A997"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70</vt:i4>
      </vt:variant>
    </vt:vector>
  </HeadingPairs>
  <TitlesOfParts>
    <vt:vector size="70" baseType="lpstr">
      <vt:lpstr>S1</vt:lpstr>
      <vt:lpstr>S2</vt:lpstr>
      <vt:lpstr>S3</vt:lpstr>
      <vt:lpstr>S4</vt:lpstr>
      <vt:lpstr>S5</vt:lpstr>
      <vt:lpstr>S6</vt:lpstr>
      <vt:lpstr>S7</vt:lpstr>
      <vt:lpstr>S8</vt:lpstr>
      <vt:lpstr>S9</vt:lpstr>
      <vt:lpstr>S10</vt:lpstr>
      <vt:lpstr>S11</vt:lpstr>
      <vt:lpstr>S12</vt:lpstr>
      <vt:lpstr>S13</vt:lpstr>
      <vt:lpstr>S14</vt:lpstr>
      <vt:lpstr>S15</vt:lpstr>
      <vt:lpstr>S16</vt:lpstr>
      <vt:lpstr>S17</vt:lpstr>
      <vt:lpstr>S18</vt:lpstr>
      <vt:lpstr>S19</vt:lpstr>
      <vt:lpstr>S20</vt:lpstr>
      <vt:lpstr>S21</vt:lpstr>
      <vt:lpstr>S22</vt:lpstr>
      <vt:lpstr>S23</vt:lpstr>
      <vt:lpstr>S24</vt:lpstr>
      <vt:lpstr>S25</vt:lpstr>
      <vt:lpstr>S26</vt:lpstr>
      <vt:lpstr>S27</vt:lpstr>
      <vt:lpstr>S28</vt:lpstr>
      <vt:lpstr>S29</vt:lpstr>
      <vt:lpstr>S30</vt:lpstr>
      <vt:lpstr>S31</vt:lpstr>
      <vt:lpstr>S32</vt:lpstr>
      <vt:lpstr>S33</vt:lpstr>
      <vt:lpstr>S34</vt:lpstr>
      <vt:lpstr>S35</vt:lpstr>
      <vt:lpstr>S36</vt:lpstr>
      <vt:lpstr>S37</vt:lpstr>
      <vt:lpstr>S38</vt:lpstr>
      <vt:lpstr>S39</vt:lpstr>
      <vt:lpstr>S40</vt:lpstr>
      <vt:lpstr>S41</vt:lpstr>
      <vt:lpstr>S42</vt:lpstr>
      <vt:lpstr>S43</vt:lpstr>
      <vt:lpstr>S44</vt:lpstr>
      <vt:lpstr>S45</vt:lpstr>
      <vt:lpstr>S46</vt:lpstr>
      <vt:lpstr>S47</vt:lpstr>
      <vt:lpstr>S48</vt:lpstr>
      <vt:lpstr>S49</vt:lpstr>
      <vt:lpstr>S50</vt:lpstr>
      <vt:lpstr>S51</vt:lpstr>
      <vt:lpstr>S52</vt:lpstr>
      <vt:lpstr>S53</vt:lpstr>
      <vt:lpstr>S54</vt:lpstr>
      <vt:lpstr>S55</vt:lpstr>
      <vt:lpstr>S56</vt:lpstr>
      <vt:lpstr>S57</vt:lpstr>
      <vt:lpstr>S58</vt:lpstr>
      <vt:lpstr>S59</vt:lpstr>
      <vt:lpstr>S60</vt:lpstr>
      <vt:lpstr>S61</vt:lpstr>
      <vt:lpstr>S62</vt:lpstr>
      <vt:lpstr>S63</vt:lpstr>
      <vt:lpstr>S64</vt:lpstr>
      <vt:lpstr>S65</vt:lpstr>
      <vt:lpstr>S66</vt:lpstr>
      <vt:lpstr>S67</vt:lpstr>
      <vt:lpstr>S68</vt:lpstr>
      <vt:lpstr>S69</vt:lpstr>
      <vt:lpstr>S70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UserSELU</cp:lastModifiedBy>
  <dcterms:modified xsi:type="dcterms:W3CDTF">2025-04-30T20:18:59Z</dcterms:modified>
</cp:coreProperties>
</file>